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ÃO SEBASTIÃO 2023\PROCESSOS\CONCORRÊNCIAS\CONCORRÊNCIA 3.2023-003 - 4 ESCOLAS E CRECHE ODINAMAR MANUT\TERMOS ADITIVOS\LOTE 05-CRECHE ODINAMAR\REAJUSTE\"/>
    </mc:Choice>
  </mc:AlternateContent>
  <xr:revisionPtr revIDLastSave="0" documentId="8_{25476129-56EF-47F9-9CA3-02BB51A1E27D}" xr6:coauthVersionLast="47" xr6:coauthVersionMax="47" xr10:uidLastSave="{00000000-0000-0000-0000-000000000000}"/>
  <bookViews>
    <workbookView xWindow="-108" yWindow="-108" windowWidth="23256" windowHeight="12456" tabRatio="574" xr2:uid="{00000000-000D-0000-FFFF-FFFF00000000}"/>
  </bookViews>
  <sheets>
    <sheet name="ORCDET REAJUSTADO 2025" sheetId="10" r:id="rId1"/>
    <sheet name="ORCAMENTO" sheetId="1" r:id="rId2"/>
    <sheet name="ORCDET" sheetId="2" r:id="rId3"/>
    <sheet name="CPU" sheetId="3" r:id="rId4"/>
    <sheet name="CRONOGRAMA" sheetId="5" r:id="rId5"/>
    <sheet name="QUANTIDADES" sheetId="8" r:id="rId6"/>
    <sheet name="ENCARGOS" sheetId="7" r:id="rId7"/>
    <sheet name="BDI" sheetId="6" r:id="rId8"/>
  </sheets>
  <definedNames>
    <definedName name="_xlnm.Print_Area" localSheetId="7">BDI!$A$1:$L$45</definedName>
    <definedName name="_xlnm.Print_Area" localSheetId="3">CPU!$A$1:$J$715</definedName>
    <definedName name="_xlnm.Print_Area" localSheetId="4">CRONOGRAMA!$A$1:$I$34</definedName>
    <definedName name="_xlnm.Print_Area" localSheetId="6">ENCARGOS!$A$1:$F$50</definedName>
    <definedName name="_xlnm.Print_Area" localSheetId="1">ORCAMENTO!$A$1:$F$22</definedName>
    <definedName name="_xlnm.Print_Area" localSheetId="2">ORCDET!$A$1:$J$130</definedName>
    <definedName name="_xlnm.Print_Area" localSheetId="0">'ORCDET REAJUSTADO 2025'!$A$1:$M$130</definedName>
    <definedName name="_xlnm.Print_Area" localSheetId="5">QUANTIDADES!$A$1:$D$194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8" i="10" l="1"/>
  <c r="M8" i="10"/>
  <c r="L9" i="10"/>
  <c r="M9" i="10" s="1"/>
  <c r="L12" i="10"/>
  <c r="M12" i="10"/>
  <c r="L13" i="10"/>
  <c r="M13" i="10" s="1"/>
  <c r="L14" i="10"/>
  <c r="M14" i="10"/>
  <c r="L15" i="10"/>
  <c r="M15" i="10" s="1"/>
  <c r="L17" i="10"/>
  <c r="M17" i="10"/>
  <c r="L18" i="10"/>
  <c r="M18" i="10" s="1"/>
  <c r="L21" i="10"/>
  <c r="M21" i="10"/>
  <c r="L22" i="10"/>
  <c r="M22" i="10" s="1"/>
  <c r="L23" i="10"/>
  <c r="M23" i="10"/>
  <c r="L25" i="10"/>
  <c r="M25" i="10" s="1"/>
  <c r="L26" i="10"/>
  <c r="M26" i="10"/>
  <c r="L27" i="10"/>
  <c r="M27" i="10" s="1"/>
  <c r="L28" i="10"/>
  <c r="M28" i="10"/>
  <c r="L30" i="10"/>
  <c r="M30" i="10" s="1"/>
  <c r="L31" i="10"/>
  <c r="M31" i="10"/>
  <c r="L34" i="10"/>
  <c r="M34" i="10" s="1"/>
  <c r="L35" i="10"/>
  <c r="M35" i="10"/>
  <c r="L36" i="10"/>
  <c r="M36" i="10" s="1"/>
  <c r="L37" i="10"/>
  <c r="M37" i="10"/>
  <c r="L39" i="10"/>
  <c r="M39" i="10" s="1"/>
  <c r="L40" i="10"/>
  <c r="M40" i="10"/>
  <c r="L41" i="10"/>
  <c r="M41" i="10" s="1"/>
  <c r="L42" i="10"/>
  <c r="M42" i="10"/>
  <c r="L43" i="10"/>
  <c r="M43" i="10" s="1"/>
  <c r="L45" i="10"/>
  <c r="M45" i="10"/>
  <c r="L46" i="10"/>
  <c r="M46" i="10" s="1"/>
  <c r="L47" i="10"/>
  <c r="M47" i="10"/>
  <c r="L48" i="10"/>
  <c r="M48" i="10" s="1"/>
  <c r="L50" i="10"/>
  <c r="M50" i="10"/>
  <c r="L51" i="10"/>
  <c r="M51" i="10" s="1"/>
  <c r="L52" i="10"/>
  <c r="M52" i="10"/>
  <c r="L53" i="10"/>
  <c r="M53" i="10" s="1"/>
  <c r="L54" i="10"/>
  <c r="M54" i="10"/>
  <c r="L57" i="10"/>
  <c r="M57" i="10" s="1"/>
  <c r="L58" i="10"/>
  <c r="M58" i="10"/>
  <c r="L60" i="10"/>
  <c r="M60" i="10" s="1"/>
  <c r="L61" i="10"/>
  <c r="M61" i="10"/>
  <c r="L62" i="10"/>
  <c r="M62" i="10" s="1"/>
  <c r="L63" i="10"/>
  <c r="M63" i="10"/>
  <c r="L64" i="10"/>
  <c r="M64" i="10" s="1"/>
  <c r="L65" i="10"/>
  <c r="M65" i="10"/>
  <c r="L66" i="10"/>
  <c r="M66" i="10" s="1"/>
  <c r="L67" i="10"/>
  <c r="M67" i="10"/>
  <c r="L68" i="10"/>
  <c r="M68" i="10" s="1"/>
  <c r="L69" i="10"/>
  <c r="M69" i="10"/>
  <c r="L71" i="10"/>
  <c r="M71" i="10" s="1"/>
  <c r="L72" i="10"/>
  <c r="M72" i="10"/>
  <c r="L73" i="10"/>
  <c r="M73" i="10" s="1"/>
  <c r="L74" i="10"/>
  <c r="M74" i="10"/>
  <c r="L75" i="10"/>
  <c r="M75" i="10" s="1"/>
  <c r="L76" i="10"/>
  <c r="M76" i="10"/>
  <c r="L77" i="10"/>
  <c r="M77" i="10" s="1"/>
  <c r="L78" i="10"/>
  <c r="M78" i="10"/>
  <c r="L79" i="10"/>
  <c r="M79" i="10" s="1"/>
  <c r="L80" i="10"/>
  <c r="M80" i="10"/>
  <c r="L81" i="10"/>
  <c r="M81" i="10" s="1"/>
  <c r="L84" i="10"/>
  <c r="M84" i="10"/>
  <c r="L85" i="10"/>
  <c r="M85" i="10" s="1"/>
  <c r="L86" i="10"/>
  <c r="M86" i="10"/>
  <c r="L87" i="10"/>
  <c r="M87" i="10" s="1"/>
  <c r="L88" i="10"/>
  <c r="M88" i="10"/>
  <c r="L90" i="10"/>
  <c r="M90" i="10" s="1"/>
  <c r="L91" i="10"/>
  <c r="M91" i="10"/>
  <c r="L92" i="10"/>
  <c r="M92" i="10" s="1"/>
  <c r="L93" i="10"/>
  <c r="M93" i="10"/>
  <c r="L94" i="10"/>
  <c r="M94" i="10" s="1"/>
  <c r="L96" i="10"/>
  <c r="M96" i="10"/>
  <c r="L97" i="10"/>
  <c r="M97" i="10" s="1"/>
  <c r="L98" i="10"/>
  <c r="M98" i="10"/>
  <c r="L99" i="10"/>
  <c r="M99" i="10" s="1"/>
  <c r="L102" i="10"/>
  <c r="M102" i="10"/>
  <c r="L103" i="10"/>
  <c r="M103" i="10" s="1"/>
  <c r="L104" i="10"/>
  <c r="M104" i="10"/>
  <c r="L105" i="10"/>
  <c r="M105" i="10" s="1"/>
  <c r="L107" i="10"/>
  <c r="M107" i="10"/>
  <c r="L108" i="10"/>
  <c r="M108" i="10" s="1"/>
  <c r="L110" i="10"/>
  <c r="M110" i="10"/>
  <c r="L112" i="10"/>
  <c r="M112" i="10" s="1"/>
  <c r="L113" i="10"/>
  <c r="M113" i="10"/>
  <c r="L114" i="10"/>
  <c r="M114" i="10" s="1"/>
  <c r="L115" i="10"/>
  <c r="M115" i="10"/>
  <c r="L117" i="10"/>
  <c r="M117" i="10" s="1"/>
  <c r="L119" i="10"/>
  <c r="M119" i="10"/>
  <c r="L120" i="10"/>
  <c r="M120" i="10" s="1"/>
  <c r="L121" i="10"/>
  <c r="M121" i="10"/>
  <c r="L123" i="10"/>
  <c r="M123" i="10" s="1"/>
  <c r="M127" i="10" s="1"/>
  <c r="M126" i="10" s="1"/>
  <c r="M125" i="10" s="1"/>
  <c r="L7" i="10"/>
  <c r="M7" i="10" s="1"/>
  <c r="A130" i="10"/>
  <c r="A129" i="10"/>
  <c r="H127" i="10"/>
  <c r="A125" i="10"/>
  <c r="G123" i="10"/>
  <c r="K122" i="10"/>
  <c r="G121" i="10"/>
  <c r="G120" i="10"/>
  <c r="K120" i="10" s="1"/>
  <c r="I119" i="10"/>
  <c r="H119" i="10"/>
  <c r="G119" i="10"/>
  <c r="K119" i="10" s="1"/>
  <c r="K118" i="10"/>
  <c r="H117" i="10"/>
  <c r="I117" i="10" s="1"/>
  <c r="G117" i="10"/>
  <c r="K117" i="10" s="1"/>
  <c r="K116" i="10"/>
  <c r="I115" i="10"/>
  <c r="J115" i="10" s="1"/>
  <c r="H115" i="10"/>
  <c r="G115" i="10"/>
  <c r="K115" i="10" s="1"/>
  <c r="I114" i="10"/>
  <c r="J114" i="10" s="1"/>
  <c r="G114" i="10"/>
  <c r="H114" i="10" s="1"/>
  <c r="G113" i="10"/>
  <c r="G112" i="10"/>
  <c r="K112" i="10" s="1"/>
  <c r="K111" i="10"/>
  <c r="H110" i="10"/>
  <c r="I110" i="10" s="1"/>
  <c r="G110" i="10"/>
  <c r="K110" i="10" s="1"/>
  <c r="K109" i="10"/>
  <c r="K108" i="10"/>
  <c r="G108" i="10"/>
  <c r="H108" i="10" s="1"/>
  <c r="I108" i="10" s="1"/>
  <c r="J108" i="10" s="1"/>
  <c r="K107" i="10"/>
  <c r="G107" i="10"/>
  <c r="H107" i="10" s="1"/>
  <c r="I107" i="10" s="1"/>
  <c r="K106" i="10"/>
  <c r="K105" i="10"/>
  <c r="G105" i="10"/>
  <c r="H105" i="10" s="1"/>
  <c r="I105" i="10" s="1"/>
  <c r="I104" i="10"/>
  <c r="J104" i="10" s="1"/>
  <c r="H104" i="10"/>
  <c r="G104" i="10"/>
  <c r="K104" i="10" s="1"/>
  <c r="K103" i="10"/>
  <c r="G103" i="10"/>
  <c r="H103" i="10" s="1"/>
  <c r="I103" i="10" s="1"/>
  <c r="J103" i="10" s="1"/>
  <c r="K102" i="10"/>
  <c r="J102" i="10"/>
  <c r="G102" i="10"/>
  <c r="H102" i="10" s="1"/>
  <c r="I102" i="10" s="1"/>
  <c r="K101" i="10"/>
  <c r="K100" i="10"/>
  <c r="K99" i="10"/>
  <c r="G99" i="10"/>
  <c r="H99" i="10" s="1"/>
  <c r="I99" i="10" s="1"/>
  <c r="J99" i="10" s="1"/>
  <c r="K98" i="10"/>
  <c r="G98" i="10"/>
  <c r="H98" i="10" s="1"/>
  <c r="I98" i="10" s="1"/>
  <c r="J98" i="10" s="1"/>
  <c r="K97" i="10"/>
  <c r="I97" i="10"/>
  <c r="J97" i="10" s="1"/>
  <c r="G97" i="10"/>
  <c r="H97" i="10" s="1"/>
  <c r="I96" i="10"/>
  <c r="H96" i="10"/>
  <c r="G96" i="10"/>
  <c r="K96" i="10" s="1"/>
  <c r="K95" i="10"/>
  <c r="H94" i="10"/>
  <c r="I94" i="10" s="1"/>
  <c r="J94" i="10" s="1"/>
  <c r="G94" i="10"/>
  <c r="K94" i="10" s="1"/>
  <c r="K93" i="10"/>
  <c r="I93" i="10"/>
  <c r="J93" i="10" s="1"/>
  <c r="G93" i="10"/>
  <c r="H93" i="10" s="1"/>
  <c r="K92" i="10"/>
  <c r="H92" i="10"/>
  <c r="I92" i="10" s="1"/>
  <c r="J92" i="10" s="1"/>
  <c r="G92" i="10"/>
  <c r="K91" i="10"/>
  <c r="H91" i="10"/>
  <c r="I91" i="10" s="1"/>
  <c r="J91" i="10" s="1"/>
  <c r="G91" i="10"/>
  <c r="H90" i="10"/>
  <c r="I90" i="10" s="1"/>
  <c r="J90" i="10" s="1"/>
  <c r="G90" i="10"/>
  <c r="K90" i="10" s="1"/>
  <c r="K89" i="10"/>
  <c r="H88" i="10"/>
  <c r="I88" i="10" s="1"/>
  <c r="J88" i="10" s="1"/>
  <c r="G88" i="10"/>
  <c r="K88" i="10" s="1"/>
  <c r="G87" i="10"/>
  <c r="G86" i="10"/>
  <c r="G85" i="10"/>
  <c r="H84" i="10"/>
  <c r="I84" i="10" s="1"/>
  <c r="G84" i="10"/>
  <c r="K84" i="10" s="1"/>
  <c r="K83" i="10"/>
  <c r="K82" i="10"/>
  <c r="K81" i="10"/>
  <c r="I81" i="10"/>
  <c r="J81" i="10" s="1"/>
  <c r="G81" i="10"/>
  <c r="H81" i="10" s="1"/>
  <c r="I80" i="10"/>
  <c r="J80" i="10" s="1"/>
  <c r="H80" i="10"/>
  <c r="G80" i="10"/>
  <c r="K80" i="10" s="1"/>
  <c r="K79" i="10"/>
  <c r="G79" i="10"/>
  <c r="H79" i="10" s="1"/>
  <c r="I79" i="10" s="1"/>
  <c r="J79" i="10" s="1"/>
  <c r="K78" i="10"/>
  <c r="G78" i="10"/>
  <c r="H78" i="10" s="1"/>
  <c r="I78" i="10" s="1"/>
  <c r="J78" i="10" s="1"/>
  <c r="K77" i="10"/>
  <c r="I77" i="10"/>
  <c r="G77" i="10"/>
  <c r="H77" i="10" s="1"/>
  <c r="K76" i="10"/>
  <c r="K75" i="10"/>
  <c r="H75" i="10"/>
  <c r="I75" i="10" s="1"/>
  <c r="J75" i="10" s="1"/>
  <c r="G75" i="10"/>
  <c r="H74" i="10"/>
  <c r="I74" i="10" s="1"/>
  <c r="J74" i="10" s="1"/>
  <c r="G74" i="10"/>
  <c r="K74" i="10" s="1"/>
  <c r="K73" i="10"/>
  <c r="I73" i="10"/>
  <c r="J73" i="10" s="1"/>
  <c r="G73" i="10"/>
  <c r="H73" i="10" s="1"/>
  <c r="K72" i="10"/>
  <c r="H72" i="10"/>
  <c r="I72" i="10" s="1"/>
  <c r="J72" i="10" s="1"/>
  <c r="G72" i="10"/>
  <c r="K71" i="10"/>
  <c r="I71" i="10"/>
  <c r="J71" i="10" s="1"/>
  <c r="H71" i="10"/>
  <c r="G71" i="10"/>
  <c r="K70" i="10"/>
  <c r="G69" i="10"/>
  <c r="K69" i="10" s="1"/>
  <c r="H68" i="10"/>
  <c r="I68" i="10" s="1"/>
  <c r="J68" i="10" s="1"/>
  <c r="G68" i="10"/>
  <c r="K68" i="10" s="1"/>
  <c r="G67" i="10"/>
  <c r="H66" i="10"/>
  <c r="I66" i="10" s="1"/>
  <c r="J66" i="10" s="1"/>
  <c r="G66" i="10"/>
  <c r="K66" i="10" s="1"/>
  <c r="G65" i="10"/>
  <c r="K65" i="10" s="1"/>
  <c r="H64" i="10"/>
  <c r="I64" i="10" s="1"/>
  <c r="J64" i="10" s="1"/>
  <c r="G64" i="10"/>
  <c r="K64" i="10" s="1"/>
  <c r="G63" i="10"/>
  <c r="H62" i="10"/>
  <c r="I62" i="10" s="1"/>
  <c r="J62" i="10" s="1"/>
  <c r="G62" i="10"/>
  <c r="K62" i="10" s="1"/>
  <c r="G61" i="10"/>
  <c r="K61" i="10" s="1"/>
  <c r="H60" i="10"/>
  <c r="I60" i="10" s="1"/>
  <c r="J60" i="10" s="1"/>
  <c r="G60" i="10"/>
  <c r="K60" i="10" s="1"/>
  <c r="K59" i="10"/>
  <c r="J58" i="10"/>
  <c r="H58" i="10"/>
  <c r="I58" i="10" s="1"/>
  <c r="G58" i="10"/>
  <c r="K58" i="10" s="1"/>
  <c r="G57" i="10"/>
  <c r="H57" i="10" s="1"/>
  <c r="I57" i="10" s="1"/>
  <c r="K56" i="10"/>
  <c r="K55" i="10"/>
  <c r="H54" i="10"/>
  <c r="I54" i="10" s="1"/>
  <c r="J54" i="10" s="1"/>
  <c r="G54" i="10"/>
  <c r="K54" i="10" s="1"/>
  <c r="G53" i="10"/>
  <c r="H52" i="10"/>
  <c r="I52" i="10" s="1"/>
  <c r="J52" i="10" s="1"/>
  <c r="G52" i="10"/>
  <c r="K52" i="10" s="1"/>
  <c r="G51" i="10"/>
  <c r="K51" i="10" s="1"/>
  <c r="H50" i="10"/>
  <c r="I50" i="10" s="1"/>
  <c r="J50" i="10" s="1"/>
  <c r="G50" i="10"/>
  <c r="K50" i="10" s="1"/>
  <c r="K49" i="10"/>
  <c r="J48" i="10"/>
  <c r="H48" i="10"/>
  <c r="I48" i="10" s="1"/>
  <c r="G48" i="10"/>
  <c r="K48" i="10" s="1"/>
  <c r="K47" i="10"/>
  <c r="G47" i="10"/>
  <c r="H47" i="10" s="1"/>
  <c r="I47" i="10" s="1"/>
  <c r="J47" i="10" s="1"/>
  <c r="G46" i="10"/>
  <c r="H46" i="10" s="1"/>
  <c r="I46" i="10" s="1"/>
  <c r="J46" i="10" s="1"/>
  <c r="K45" i="10"/>
  <c r="G45" i="10"/>
  <c r="H45" i="10" s="1"/>
  <c r="I45" i="10" s="1"/>
  <c r="K44" i="10"/>
  <c r="K43" i="10"/>
  <c r="I43" i="10"/>
  <c r="J43" i="10" s="1"/>
  <c r="G43" i="10"/>
  <c r="H43" i="10" s="1"/>
  <c r="I42" i="10"/>
  <c r="J42" i="10" s="1"/>
  <c r="H42" i="10"/>
  <c r="G42" i="10"/>
  <c r="K42" i="10" s="1"/>
  <c r="K41" i="10"/>
  <c r="G41" i="10"/>
  <c r="H41" i="10" s="1"/>
  <c r="I41" i="10" s="1"/>
  <c r="J41" i="10" s="1"/>
  <c r="K40" i="10"/>
  <c r="G40" i="10"/>
  <c r="H40" i="10" s="1"/>
  <c r="I40" i="10" s="1"/>
  <c r="J40" i="10" s="1"/>
  <c r="K39" i="10"/>
  <c r="I39" i="10"/>
  <c r="G39" i="10"/>
  <c r="H39" i="10" s="1"/>
  <c r="K38" i="10"/>
  <c r="K37" i="10"/>
  <c r="H37" i="10"/>
  <c r="I37" i="10" s="1"/>
  <c r="G37" i="10"/>
  <c r="I36" i="10"/>
  <c r="J36" i="10" s="1"/>
  <c r="H36" i="10"/>
  <c r="G36" i="10"/>
  <c r="K36" i="10" s="1"/>
  <c r="K35" i="10"/>
  <c r="J35" i="10"/>
  <c r="I35" i="10"/>
  <c r="G35" i="10"/>
  <c r="H35" i="10" s="1"/>
  <c r="K34" i="10"/>
  <c r="J34" i="10"/>
  <c r="H34" i="10"/>
  <c r="I34" i="10" s="1"/>
  <c r="G34" i="10"/>
  <c r="K33" i="10"/>
  <c r="K32" i="10"/>
  <c r="K31" i="10"/>
  <c r="J31" i="10"/>
  <c r="I31" i="10"/>
  <c r="G31" i="10"/>
  <c r="H31" i="10" s="1"/>
  <c r="K30" i="10"/>
  <c r="J30" i="10"/>
  <c r="H30" i="10"/>
  <c r="I30" i="10" s="1"/>
  <c r="G30" i="10"/>
  <c r="K29" i="10"/>
  <c r="I29" i="10"/>
  <c r="J29" i="10" s="1"/>
  <c r="K28" i="10"/>
  <c r="G28" i="10"/>
  <c r="H28" i="10" s="1"/>
  <c r="I28" i="10" s="1"/>
  <c r="J28" i="10" s="1"/>
  <c r="G27" i="10"/>
  <c r="H27" i="10" s="1"/>
  <c r="I27" i="10" s="1"/>
  <c r="J27" i="10" s="1"/>
  <c r="J26" i="10"/>
  <c r="H26" i="10"/>
  <c r="I26" i="10" s="1"/>
  <c r="G26" i="10"/>
  <c r="K26" i="10" s="1"/>
  <c r="K25" i="10"/>
  <c r="G25" i="10"/>
  <c r="H25" i="10" s="1"/>
  <c r="I25" i="10" s="1"/>
  <c r="K24" i="10"/>
  <c r="K23" i="10"/>
  <c r="J23" i="10"/>
  <c r="G23" i="10"/>
  <c r="H23" i="10" s="1"/>
  <c r="I23" i="10" s="1"/>
  <c r="G22" i="10"/>
  <c r="H22" i="10" s="1"/>
  <c r="I22" i="10" s="1"/>
  <c r="J22" i="10" s="1"/>
  <c r="I21" i="10"/>
  <c r="J21" i="10" s="1"/>
  <c r="H21" i="10"/>
  <c r="G21" i="10"/>
  <c r="K21" i="10" s="1"/>
  <c r="K20" i="10"/>
  <c r="K19" i="10"/>
  <c r="G18" i="10"/>
  <c r="K18" i="10" s="1"/>
  <c r="I17" i="10"/>
  <c r="J17" i="10" s="1"/>
  <c r="H17" i="10"/>
  <c r="G17" i="10"/>
  <c r="K17" i="10" s="1"/>
  <c r="K16" i="10"/>
  <c r="H15" i="10"/>
  <c r="I15" i="10" s="1"/>
  <c r="J15" i="10" s="1"/>
  <c r="G15" i="10"/>
  <c r="K15" i="10" s="1"/>
  <c r="G14" i="10"/>
  <c r="H14" i="10" s="1"/>
  <c r="I14" i="10" s="1"/>
  <c r="J14" i="10" s="1"/>
  <c r="K13" i="10"/>
  <c r="J13" i="10"/>
  <c r="G13" i="10"/>
  <c r="H13" i="10" s="1"/>
  <c r="I13" i="10" s="1"/>
  <c r="K12" i="10"/>
  <c r="H12" i="10"/>
  <c r="I12" i="10" s="1"/>
  <c r="J12" i="10" s="1"/>
  <c r="G12" i="10"/>
  <c r="K11" i="10"/>
  <c r="K10" i="10"/>
  <c r="G9" i="10"/>
  <c r="H9" i="10" s="1"/>
  <c r="I9" i="10" s="1"/>
  <c r="J9" i="10" s="1"/>
  <c r="K8" i="10"/>
  <c r="H8" i="10"/>
  <c r="I8" i="10" s="1"/>
  <c r="J8" i="10" s="1"/>
  <c r="G8" i="10"/>
  <c r="H7" i="10"/>
  <c r="I7" i="10" s="1"/>
  <c r="G7" i="10"/>
  <c r="K7" i="10" s="1"/>
  <c r="K6" i="10"/>
  <c r="I3" i="10"/>
  <c r="E3" i="10"/>
  <c r="A3" i="10"/>
  <c r="K116" i="2"/>
  <c r="K118" i="2"/>
  <c r="K122" i="2"/>
  <c r="J37" i="10" l="1"/>
  <c r="I33" i="10"/>
  <c r="J7" i="10"/>
  <c r="I6" i="10"/>
  <c r="J6" i="10" s="1"/>
  <c r="J105" i="10"/>
  <c r="I101" i="10"/>
  <c r="J84" i="10"/>
  <c r="H113" i="10"/>
  <c r="I113" i="10" s="1"/>
  <c r="J113" i="10" s="1"/>
  <c r="K113" i="10"/>
  <c r="J117" i="10"/>
  <c r="I116" i="10"/>
  <c r="J116" i="10" s="1"/>
  <c r="H18" i="10"/>
  <c r="I18" i="10" s="1"/>
  <c r="J18" i="10" s="1"/>
  <c r="I20" i="10"/>
  <c r="K22" i="10"/>
  <c r="K46" i="10"/>
  <c r="H61" i="10"/>
  <c r="I61" i="10" s="1"/>
  <c r="J61" i="10" s="1"/>
  <c r="H65" i="10"/>
  <c r="I65" i="10" s="1"/>
  <c r="J65" i="10" s="1"/>
  <c r="H69" i="10"/>
  <c r="I69" i="10" s="1"/>
  <c r="J69" i="10" s="1"/>
  <c r="K85" i="10"/>
  <c r="H85" i="10"/>
  <c r="I85" i="10" s="1"/>
  <c r="J85" i="10" s="1"/>
  <c r="I95" i="10"/>
  <c r="J95" i="10" s="1"/>
  <c r="J96" i="10"/>
  <c r="I109" i="10"/>
  <c r="J109" i="10" s="1"/>
  <c r="J110" i="10"/>
  <c r="J119" i="10"/>
  <c r="H123" i="10"/>
  <c r="I123" i="10" s="1"/>
  <c r="K123" i="10"/>
  <c r="H53" i="10"/>
  <c r="I53" i="10" s="1"/>
  <c r="J53" i="10" s="1"/>
  <c r="K53" i="10"/>
  <c r="I56" i="10"/>
  <c r="J57" i="10"/>
  <c r="J77" i="10"/>
  <c r="I76" i="10"/>
  <c r="J76" i="10" s="1"/>
  <c r="H87" i="10"/>
  <c r="I87" i="10" s="1"/>
  <c r="J87" i="10" s="1"/>
  <c r="K87" i="10"/>
  <c r="J107" i="10"/>
  <c r="I106" i="10"/>
  <c r="J106" i="10" s="1"/>
  <c r="H121" i="10"/>
  <c r="I121" i="10" s="1"/>
  <c r="J121" i="10" s="1"/>
  <c r="K121" i="10"/>
  <c r="I11" i="10"/>
  <c r="K27" i="10"/>
  <c r="H51" i="10"/>
  <c r="I51" i="10" s="1"/>
  <c r="K57" i="10"/>
  <c r="H63" i="10"/>
  <c r="I63" i="10" s="1"/>
  <c r="J63" i="10" s="1"/>
  <c r="K63" i="10"/>
  <c r="H67" i="10"/>
  <c r="I67" i="10" s="1"/>
  <c r="J67" i="10" s="1"/>
  <c r="K67" i="10"/>
  <c r="K9" i="10"/>
  <c r="I16" i="10"/>
  <c r="J16" i="10" s="1"/>
  <c r="J25" i="10"/>
  <c r="I24" i="10"/>
  <c r="J24" i="10" s="1"/>
  <c r="J39" i="10"/>
  <c r="I38" i="10"/>
  <c r="J38" i="10" s="1"/>
  <c r="J45" i="10"/>
  <c r="I44" i="10"/>
  <c r="J44" i="10" s="1"/>
  <c r="I70" i="10"/>
  <c r="J70" i="10" s="1"/>
  <c r="K86" i="10"/>
  <c r="H86" i="10"/>
  <c r="I86" i="10" s="1"/>
  <c r="J86" i="10" s="1"/>
  <c r="I89" i="10"/>
  <c r="J89" i="10" s="1"/>
  <c r="K14" i="10"/>
  <c r="H125" i="10" s="1"/>
  <c r="H126" i="10" s="1"/>
  <c r="H112" i="10"/>
  <c r="I112" i="10" s="1"/>
  <c r="H120" i="10"/>
  <c r="I120" i="10" s="1"/>
  <c r="J120" i="10" s="1"/>
  <c r="K114" i="10"/>
  <c r="B194" i="8"/>
  <c r="B193" i="8"/>
  <c r="B191" i="8"/>
  <c r="A3" i="8"/>
  <c r="J51" i="10" l="1"/>
  <c r="I49" i="10"/>
  <c r="J49" i="10" s="1"/>
  <c r="J56" i="10"/>
  <c r="I55" i="10"/>
  <c r="J55" i="10" s="1"/>
  <c r="I122" i="10"/>
  <c r="J122" i="10" s="1"/>
  <c r="J123" i="10"/>
  <c r="I83" i="10"/>
  <c r="I118" i="10"/>
  <c r="J118" i="10" s="1"/>
  <c r="I59" i="10"/>
  <c r="J59" i="10" s="1"/>
  <c r="J11" i="10"/>
  <c r="I10" i="10"/>
  <c r="J10" i="10" s="1"/>
  <c r="J20" i="10"/>
  <c r="I19" i="10"/>
  <c r="J19" i="10" s="1"/>
  <c r="J101" i="10"/>
  <c r="J33" i="10"/>
  <c r="J112" i="10"/>
  <c r="I111" i="10"/>
  <c r="J111" i="10" s="1"/>
  <c r="K55" i="2"/>
  <c r="I100" i="10" l="1"/>
  <c r="J100" i="10" s="1"/>
  <c r="J83" i="10"/>
  <c r="I82" i="10"/>
  <c r="J82" i="10" s="1"/>
  <c r="I32" i="10"/>
  <c r="J32" i="10" s="1"/>
  <c r="K20" i="2"/>
  <c r="K29" i="2"/>
  <c r="C3" i="5"/>
  <c r="B24" i="5"/>
  <c r="B22" i="5"/>
  <c r="B20" i="5"/>
  <c r="B18" i="5"/>
  <c r="B16" i="5"/>
  <c r="B14" i="5"/>
  <c r="B12" i="5"/>
  <c r="B10" i="5"/>
  <c r="B8" i="5"/>
  <c r="B6" i="5"/>
  <c r="K11" i="2"/>
  <c r="F28" i="1" l="1"/>
  <c r="K49" i="2" l="1"/>
  <c r="G43" i="2" l="1"/>
  <c r="G64" i="2"/>
  <c r="H64" i="2" s="1"/>
  <c r="I64" i="2" s="1"/>
  <c r="G77" i="2"/>
  <c r="H77" i="2" s="1"/>
  <c r="I77" i="2" s="1"/>
  <c r="G50" i="2"/>
  <c r="H50" i="2" s="1"/>
  <c r="I50" i="2" s="1"/>
  <c r="G39" i="2"/>
  <c r="H39" i="2" s="1"/>
  <c r="I39" i="2" s="1"/>
  <c r="G40" i="2"/>
  <c r="H40" i="2" s="1"/>
  <c r="I40" i="2" s="1"/>
  <c r="G57" i="2"/>
  <c r="H57" i="2" s="1"/>
  <c r="I57" i="2" s="1"/>
  <c r="G7" i="2"/>
  <c r="G85" i="2"/>
  <c r="H85" i="2" s="1"/>
  <c r="I85" i="2" s="1"/>
  <c r="G62" i="2"/>
  <c r="H62" i="2" s="1"/>
  <c r="I62" i="2" s="1"/>
  <c r="G66" i="2"/>
  <c r="H66" i="2" s="1"/>
  <c r="I66" i="2" s="1"/>
  <c r="G63" i="2"/>
  <c r="H63" i="2" s="1"/>
  <c r="I63" i="2" s="1"/>
  <c r="G103" i="2"/>
  <c r="H103" i="2" s="1"/>
  <c r="I103" i="2" s="1"/>
  <c r="G90" i="2"/>
  <c r="H90" i="2" s="1"/>
  <c r="I90" i="2" s="1"/>
  <c r="G113" i="2"/>
  <c r="H113" i="2" s="1"/>
  <c r="I113" i="2" s="1"/>
  <c r="G45" i="2"/>
  <c r="H45" i="2" s="1"/>
  <c r="I45" i="2" s="1"/>
  <c r="G114" i="2"/>
  <c r="H114" i="2" s="1"/>
  <c r="I114" i="2" s="1"/>
  <c r="G17" i="2"/>
  <c r="H17" i="2" s="1"/>
  <c r="I17" i="2" s="1"/>
  <c r="G58" i="2"/>
  <c r="G104" i="2"/>
  <c r="H104" i="2" s="1"/>
  <c r="I104" i="2" s="1"/>
  <c r="G107" i="2"/>
  <c r="H107" i="2" s="1"/>
  <c r="I107" i="2" s="1"/>
  <c r="G120" i="2"/>
  <c r="G9" i="2"/>
  <c r="G73" i="2"/>
  <c r="H73" i="2" s="1"/>
  <c r="I73" i="2" s="1"/>
  <c r="G52" i="2"/>
  <c r="H52" i="2" s="1"/>
  <c r="I52" i="2" s="1"/>
  <c r="G105" i="2"/>
  <c r="H105" i="2" s="1"/>
  <c r="I105" i="2" s="1"/>
  <c r="G41" i="2"/>
  <c r="G47" i="2"/>
  <c r="H47" i="2" s="1"/>
  <c r="I47" i="2" s="1"/>
  <c r="G117" i="2"/>
  <c r="G8" i="2"/>
  <c r="G34" i="2"/>
  <c r="H34" i="2" s="1"/>
  <c r="I34" i="2" s="1"/>
  <c r="G51" i="2"/>
  <c r="H51" i="2" s="1"/>
  <c r="I51" i="2" s="1"/>
  <c r="K38" i="2"/>
  <c r="K47" i="2"/>
  <c r="K77" i="2"/>
  <c r="K85" i="2"/>
  <c r="G112" i="2" l="1"/>
  <c r="H112" i="2" s="1"/>
  <c r="I112" i="2" s="1"/>
  <c r="K112" i="2"/>
  <c r="G30" i="2"/>
  <c r="H30" i="2" s="1"/>
  <c r="I30" i="2" s="1"/>
  <c r="G14" i="2"/>
  <c r="G21" i="2"/>
  <c r="G102" i="2"/>
  <c r="H102" i="2" s="1"/>
  <c r="I102" i="2" s="1"/>
  <c r="I101" i="2" s="1"/>
  <c r="G123" i="2"/>
  <c r="G96" i="2"/>
  <c r="G37" i="2"/>
  <c r="G91" i="2"/>
  <c r="H91" i="2" s="1"/>
  <c r="I91" i="2" s="1"/>
  <c r="H58" i="2"/>
  <c r="I58" i="2" s="1"/>
  <c r="I56" i="2" s="1"/>
  <c r="K58" i="2"/>
  <c r="G35" i="2"/>
  <c r="H35" i="2" s="1"/>
  <c r="I35" i="2" s="1"/>
  <c r="G115" i="2"/>
  <c r="H115" i="2" s="1"/>
  <c r="I115" i="2" s="1"/>
  <c r="I111" i="2" s="1"/>
  <c r="G67" i="2"/>
  <c r="K34" i="2"/>
  <c r="G36" i="2"/>
  <c r="H36" i="2" s="1"/>
  <c r="I36" i="2" s="1"/>
  <c r="G72" i="2"/>
  <c r="H72" i="2" s="1"/>
  <c r="I72" i="2" s="1"/>
  <c r="G94" i="2"/>
  <c r="H94" i="2" s="1"/>
  <c r="I94" i="2" s="1"/>
  <c r="G27" i="2"/>
  <c r="H27" i="2" s="1"/>
  <c r="I27" i="2" s="1"/>
  <c r="G28" i="2"/>
  <c r="G108" i="2"/>
  <c r="H108" i="2" s="1"/>
  <c r="I108" i="2" s="1"/>
  <c r="I106" i="2" s="1"/>
  <c r="G92" i="2"/>
  <c r="H92" i="2" s="1"/>
  <c r="I92" i="2" s="1"/>
  <c r="G26" i="2"/>
  <c r="H26" i="2" s="1"/>
  <c r="I26" i="2" s="1"/>
  <c r="H120" i="2"/>
  <c r="I120" i="2" s="1"/>
  <c r="K120" i="2"/>
  <c r="G48" i="2"/>
  <c r="H48" i="2" s="1"/>
  <c r="I48" i="2" s="1"/>
  <c r="G81" i="2"/>
  <c r="H81" i="2" s="1"/>
  <c r="I81" i="2" s="1"/>
  <c r="G18" i="2"/>
  <c r="H18" i="2" s="1"/>
  <c r="I18" i="2" s="1"/>
  <c r="G15" i="2"/>
  <c r="H15" i="2" s="1"/>
  <c r="I15" i="2" s="1"/>
  <c r="G22" i="2"/>
  <c r="H22" i="2" s="1"/>
  <c r="I22" i="2" s="1"/>
  <c r="G78" i="2"/>
  <c r="G71" i="2"/>
  <c r="H71" i="2" s="1"/>
  <c r="I71" i="2" s="1"/>
  <c r="G25" i="2"/>
  <c r="G42" i="2"/>
  <c r="H42" i="2" s="1"/>
  <c r="I42" i="2" s="1"/>
  <c r="G60" i="2"/>
  <c r="H60" i="2" s="1"/>
  <c r="I60" i="2" s="1"/>
  <c r="G97" i="2"/>
  <c r="H97" i="2" s="1"/>
  <c r="I97" i="2" s="1"/>
  <c r="G13" i="2"/>
  <c r="G74" i="2"/>
  <c r="H74" i="2" s="1"/>
  <c r="I74" i="2" s="1"/>
  <c r="G54" i="2"/>
  <c r="H54" i="2" s="1"/>
  <c r="I54" i="2" s="1"/>
  <c r="G84" i="2"/>
  <c r="H84" i="2" s="1"/>
  <c r="I84" i="2" s="1"/>
  <c r="G110" i="2"/>
  <c r="H110" i="2" s="1"/>
  <c r="I110" i="2" s="1"/>
  <c r="I109" i="2" s="1"/>
  <c r="G121" i="2"/>
  <c r="H117" i="2"/>
  <c r="I117" i="2" s="1"/>
  <c r="I116" i="2" s="1"/>
  <c r="K117" i="2"/>
  <c r="I16" i="2"/>
  <c r="G93" i="2"/>
  <c r="G69" i="2"/>
  <c r="G61" i="2"/>
  <c r="H61" i="2" s="1"/>
  <c r="I61" i="2" s="1"/>
  <c r="G80" i="2"/>
  <c r="H80" i="2" s="1"/>
  <c r="I80" i="2" s="1"/>
  <c r="G75" i="2"/>
  <c r="H75" i="2" s="1"/>
  <c r="I75" i="2" s="1"/>
  <c r="G79" i="2"/>
  <c r="G98" i="2"/>
  <c r="G68" i="2"/>
  <c r="H68" i="2" s="1"/>
  <c r="I68" i="2" s="1"/>
  <c r="G119" i="2"/>
  <c r="G99" i="2"/>
  <c r="H99" i="2" s="1"/>
  <c r="I99" i="2" s="1"/>
  <c r="G86" i="2"/>
  <c r="H86" i="2" s="1"/>
  <c r="I86" i="2" s="1"/>
  <c r="G12" i="2"/>
  <c r="G88" i="2"/>
  <c r="G53" i="2"/>
  <c r="H53" i="2" s="1"/>
  <c r="I53" i="2" s="1"/>
  <c r="G23" i="2"/>
  <c r="H41" i="2"/>
  <c r="I41" i="2" s="1"/>
  <c r="K41" i="2"/>
  <c r="G46" i="2"/>
  <c r="H46" i="2" s="1"/>
  <c r="I46" i="2" s="1"/>
  <c r="I44" i="2" s="1"/>
  <c r="G87" i="2"/>
  <c r="H87" i="2" s="1"/>
  <c r="I87" i="2" s="1"/>
  <c r="G65" i="2"/>
  <c r="G31" i="2"/>
  <c r="H31" i="2" s="1"/>
  <c r="I31" i="2" s="1"/>
  <c r="H43" i="2"/>
  <c r="I43" i="2" s="1"/>
  <c r="K43" i="2"/>
  <c r="K36" i="2"/>
  <c r="K51" i="2"/>
  <c r="K32" i="2"/>
  <c r="K50" i="2"/>
  <c r="K52" i="2"/>
  <c r="K70" i="2"/>
  <c r="K105" i="2"/>
  <c r="K89" i="2"/>
  <c r="K83" i="2"/>
  <c r="K57" i="2"/>
  <c r="K62" i="2"/>
  <c r="K59" i="2"/>
  <c r="K63" i="2"/>
  <c r="K56" i="2"/>
  <c r="K33" i="2"/>
  <c r="H8" i="2"/>
  <c r="I8" i="2" s="1"/>
  <c r="K17" i="2"/>
  <c r="K16" i="2"/>
  <c r="K10" i="2"/>
  <c r="K7" i="2"/>
  <c r="K107" i="2"/>
  <c r="K73" i="2"/>
  <c r="K45" i="2"/>
  <c r="K101" i="2"/>
  <c r="H9" i="2"/>
  <c r="I9" i="2" s="1"/>
  <c r="K9" i="2"/>
  <c r="K44" i="2"/>
  <c r="K114" i="2"/>
  <c r="K35" i="2"/>
  <c r="K103" i="2"/>
  <c r="K74" i="2"/>
  <c r="K100" i="2"/>
  <c r="K30" i="2"/>
  <c r="K106" i="2"/>
  <c r="K76" i="2"/>
  <c r="K90" i="2"/>
  <c r="K113" i="2"/>
  <c r="K75" i="2"/>
  <c r="K66" i="2"/>
  <c r="K39" i="2"/>
  <c r="K111" i="2"/>
  <c r="K99" i="2"/>
  <c r="K82" i="2"/>
  <c r="K72" i="2"/>
  <c r="K109" i="2"/>
  <c r="K31" i="2"/>
  <c r="K97" i="2"/>
  <c r="K40" i="2"/>
  <c r="K64" i="2"/>
  <c r="K104" i="2"/>
  <c r="K102" i="2"/>
  <c r="K94" i="2"/>
  <c r="K48" i="2" l="1"/>
  <c r="K68" i="2"/>
  <c r="K60" i="2"/>
  <c r="K91" i="2"/>
  <c r="K92" i="2"/>
  <c r="K42" i="2"/>
  <c r="K110" i="2"/>
  <c r="K108" i="2"/>
  <c r="K54" i="2"/>
  <c r="K115" i="2"/>
  <c r="K46" i="2"/>
  <c r="I49" i="2"/>
  <c r="K81" i="2"/>
  <c r="I70" i="2"/>
  <c r="I38" i="2"/>
  <c r="K53" i="2"/>
  <c r="K71" i="2"/>
  <c r="K86" i="2"/>
  <c r="K61" i="2"/>
  <c r="K84" i="2"/>
  <c r="H28" i="2"/>
  <c r="I28" i="2" s="1"/>
  <c r="K28" i="2"/>
  <c r="H96" i="2"/>
  <c r="I96" i="2" s="1"/>
  <c r="K96" i="2"/>
  <c r="H23" i="2"/>
  <c r="I23" i="2" s="1"/>
  <c r="K23" i="2"/>
  <c r="H78" i="2"/>
  <c r="I78" i="2" s="1"/>
  <c r="K78" i="2"/>
  <c r="K119" i="2"/>
  <c r="H119" i="2"/>
  <c r="I119" i="2" s="1"/>
  <c r="H123" i="2"/>
  <c r="I123" i="2" s="1"/>
  <c r="I122" i="2" s="1"/>
  <c r="E15" i="1" s="1"/>
  <c r="K123" i="2"/>
  <c r="H69" i="2"/>
  <c r="I69" i="2" s="1"/>
  <c r="K69" i="2"/>
  <c r="I100" i="2"/>
  <c r="E13" i="1" s="1"/>
  <c r="H88" i="2"/>
  <c r="I88" i="2" s="1"/>
  <c r="I83" i="2" s="1"/>
  <c r="K88" i="2"/>
  <c r="H98" i="2"/>
  <c r="I98" i="2" s="1"/>
  <c r="K98" i="2"/>
  <c r="H93" i="2"/>
  <c r="I93" i="2" s="1"/>
  <c r="I89" i="2" s="1"/>
  <c r="K93" i="2"/>
  <c r="H65" i="2"/>
  <c r="I65" i="2" s="1"/>
  <c r="K65" i="2"/>
  <c r="H21" i="2"/>
  <c r="I21" i="2" s="1"/>
  <c r="K21" i="2"/>
  <c r="K80" i="2"/>
  <c r="H79" i="2"/>
  <c r="I79" i="2" s="1"/>
  <c r="K79" i="2"/>
  <c r="H12" i="2"/>
  <c r="I12" i="2" s="1"/>
  <c r="K12" i="2"/>
  <c r="H25" i="2"/>
  <c r="I25" i="2" s="1"/>
  <c r="K25" i="2"/>
  <c r="H14" i="2"/>
  <c r="I14" i="2" s="1"/>
  <c r="K14" i="2"/>
  <c r="H67" i="2"/>
  <c r="I67" i="2" s="1"/>
  <c r="K67" i="2"/>
  <c r="H37" i="2"/>
  <c r="I37" i="2" s="1"/>
  <c r="I33" i="2" s="1"/>
  <c r="K37" i="2"/>
  <c r="K87" i="2"/>
  <c r="H121" i="2"/>
  <c r="I121" i="2" s="1"/>
  <c r="K121" i="2"/>
  <c r="H13" i="2"/>
  <c r="I13" i="2" s="1"/>
  <c r="K13" i="2"/>
  <c r="I29" i="2"/>
  <c r="H7" i="2"/>
  <c r="K24" i="2"/>
  <c r="K27" i="2"/>
  <c r="K8" i="2"/>
  <c r="K22" i="2"/>
  <c r="K18" i="2"/>
  <c r="K15" i="2"/>
  <c r="K19" i="2"/>
  <c r="K26" i="2"/>
  <c r="A707" i="3"/>
  <c r="I32" i="2" l="1"/>
  <c r="E9" i="1" s="1"/>
  <c r="I11" i="2"/>
  <c r="I10" i="2" s="1"/>
  <c r="E7" i="1" s="1"/>
  <c r="C9" i="5" s="1"/>
  <c r="E9" i="5" s="1"/>
  <c r="F9" i="5" s="1"/>
  <c r="I118" i="2"/>
  <c r="E14" i="1" s="1"/>
  <c r="I59" i="2"/>
  <c r="I55" i="2" s="1"/>
  <c r="E10" i="1" s="1"/>
  <c r="I24" i="2"/>
  <c r="I20" i="2"/>
  <c r="I76" i="2"/>
  <c r="E11" i="1" s="1"/>
  <c r="I95" i="2"/>
  <c r="I82" i="2" s="1"/>
  <c r="E12" i="1" s="1"/>
  <c r="C19" i="5" s="1"/>
  <c r="I7" i="2"/>
  <c r="C21" i="5"/>
  <c r="K95" i="2"/>
  <c r="C23" i="5"/>
  <c r="I23" i="5" s="1"/>
  <c r="I19" i="2" l="1"/>
  <c r="E8" i="1" s="1"/>
  <c r="H21" i="5"/>
  <c r="G21" i="5"/>
  <c r="F21" i="5"/>
  <c r="G19" i="5"/>
  <c r="F19" i="5"/>
  <c r="E19" i="5"/>
  <c r="I6" i="2"/>
  <c r="E6" i="1" s="1"/>
  <c r="C25" i="5"/>
  <c r="I25" i="5" s="1"/>
  <c r="C13" i="5"/>
  <c r="C15" i="5"/>
  <c r="B45" i="6"/>
  <c r="B44" i="6"/>
  <c r="B50" i="7"/>
  <c r="B49" i="7"/>
  <c r="A712" i="3"/>
  <c r="A711" i="3"/>
  <c r="I21" i="5" l="1"/>
  <c r="H19" i="5"/>
  <c r="F15" i="5"/>
  <c r="E15" i="5"/>
  <c r="F13" i="5"/>
  <c r="E13" i="5"/>
  <c r="C17" i="5"/>
  <c r="B34" i="5"/>
  <c r="B33" i="5"/>
  <c r="A130" i="2"/>
  <c r="A129" i="2"/>
  <c r="K6" i="2"/>
  <c r="B47" i="7"/>
  <c r="B42" i="6"/>
  <c r="B31" i="5"/>
  <c r="A125" i="2"/>
  <c r="G15" i="5" l="1"/>
  <c r="E17" i="5"/>
  <c r="G17" i="5"/>
  <c r="F17" i="5"/>
  <c r="G13" i="5"/>
  <c r="H3" i="5"/>
  <c r="I3" i="2"/>
  <c r="H17" i="5" l="1"/>
  <c r="I3" i="3"/>
  <c r="E43" i="7" l="1"/>
  <c r="C43" i="7"/>
  <c r="E38" i="7"/>
  <c r="C38" i="7"/>
  <c r="E30" i="7"/>
  <c r="C30" i="7"/>
  <c r="C45" i="7" s="1"/>
  <c r="E29" i="7"/>
  <c r="C17" i="7"/>
  <c r="E16" i="7"/>
  <c r="E15" i="7"/>
  <c r="E14" i="7"/>
  <c r="E13" i="7"/>
  <c r="E12" i="7"/>
  <c r="E11" i="7"/>
  <c r="E10" i="7"/>
  <c r="E9" i="7"/>
  <c r="E8" i="7"/>
  <c r="E17" i="7" s="1"/>
  <c r="I36" i="6"/>
  <c r="G36" i="6"/>
  <c r="E36" i="6"/>
  <c r="I35" i="6"/>
  <c r="I32" i="6" s="1"/>
  <c r="G35" i="6"/>
  <c r="G32" i="6" s="1"/>
  <c r="E35" i="6"/>
  <c r="K32" i="6"/>
  <c r="K37" i="6" s="1"/>
  <c r="D3" i="1" s="1"/>
  <c r="G3" i="3" s="1"/>
  <c r="I31" i="6"/>
  <c r="G31" i="6"/>
  <c r="E31" i="6"/>
  <c r="I30" i="6"/>
  <c r="G30" i="6"/>
  <c r="E30" i="6"/>
  <c r="I29" i="6"/>
  <c r="G29" i="6"/>
  <c r="E29" i="6"/>
  <c r="I28" i="6"/>
  <c r="G28" i="6"/>
  <c r="I27" i="6"/>
  <c r="G27" i="6"/>
  <c r="E27" i="6"/>
  <c r="C18" i="6"/>
  <c r="Q14" i="6"/>
  <c r="I37" i="6" s="1"/>
  <c r="P14" i="6"/>
  <c r="G37" i="6" s="1"/>
  <c r="O14" i="6"/>
  <c r="E37" i="6" s="1"/>
  <c r="Q13" i="6"/>
  <c r="P13" i="6"/>
  <c r="O13" i="6"/>
  <c r="Q12" i="6"/>
  <c r="P12" i="6"/>
  <c r="O12" i="6"/>
  <c r="Q11" i="6"/>
  <c r="P11" i="6"/>
  <c r="O11" i="6"/>
  <c r="Q10" i="6"/>
  <c r="P10" i="6"/>
  <c r="O10" i="6"/>
  <c r="Q9" i="6"/>
  <c r="P9" i="6"/>
  <c r="O9" i="6"/>
  <c r="Q8" i="6"/>
  <c r="P8" i="6"/>
  <c r="O8" i="6"/>
  <c r="B8" i="6"/>
  <c r="Q6" i="6"/>
  <c r="B3" i="6"/>
  <c r="A3" i="5"/>
  <c r="E3" i="3"/>
  <c r="A3" i="3"/>
  <c r="E3" i="2"/>
  <c r="A3" i="2"/>
  <c r="E32" i="6" l="1"/>
  <c r="E45" i="7"/>
  <c r="C7" i="5" l="1"/>
  <c r="D7" i="5" s="1"/>
  <c r="I27" i="5" l="1"/>
  <c r="H27" i="5"/>
  <c r="G27" i="5"/>
  <c r="H125" i="2"/>
  <c r="C11" i="5" l="1"/>
  <c r="E11" i="5" s="1"/>
  <c r="F11" i="5" l="1"/>
  <c r="F27" i="5" s="1"/>
  <c r="E27" i="5"/>
  <c r="D27" i="5"/>
  <c r="D29" i="5" l="1"/>
  <c r="E29" i="5" l="1"/>
  <c r="E17" i="1" l="1"/>
  <c r="H707" i="3" s="1"/>
  <c r="E19" i="1" l="1"/>
  <c r="H709" i="3" l="1"/>
  <c r="H127" i="2"/>
  <c r="J122" i="2" l="1"/>
  <c r="F15" i="1" s="1"/>
  <c r="J119" i="2"/>
  <c r="J120" i="2"/>
  <c r="J123" i="2"/>
  <c r="J118" i="2"/>
  <c r="F14" i="1" s="1"/>
  <c r="J121" i="2"/>
  <c r="J117" i="2"/>
  <c r="J116" i="2"/>
  <c r="J56" i="2"/>
  <c r="J55" i="2"/>
  <c r="F10" i="1" s="1"/>
  <c r="J84" i="2"/>
  <c r="J83" i="2"/>
  <c r="J63" i="2"/>
  <c r="J62" i="2"/>
  <c r="J33" i="2"/>
  <c r="J53" i="2"/>
  <c r="J32" i="2"/>
  <c r="F9" i="1" s="1"/>
  <c r="J57" i="2"/>
  <c r="J52" i="2"/>
  <c r="J28" i="2"/>
  <c r="J51" i="2"/>
  <c r="J50" i="2"/>
  <c r="J49" i="2"/>
  <c r="F29" i="5"/>
  <c r="J115" i="2"/>
  <c r="J114" i="2"/>
  <c r="J44" i="2"/>
  <c r="J43" i="2"/>
  <c r="J19" i="2"/>
  <c r="F8" i="1" s="1"/>
  <c r="J68" i="2"/>
  <c r="J36" i="2"/>
  <c r="J18" i="2"/>
  <c r="J54" i="2"/>
  <c r="J17" i="2"/>
  <c r="J35" i="2"/>
  <c r="J16" i="2"/>
  <c r="J48" i="2"/>
  <c r="J15" i="2"/>
  <c r="J34" i="2"/>
  <c r="J45" i="2"/>
  <c r="J47" i="2"/>
  <c r="J46" i="2"/>
  <c r="J12" i="2"/>
  <c r="J10" i="2"/>
  <c r="F7" i="1" s="1"/>
  <c r="J9" i="2"/>
  <c r="J8" i="2"/>
  <c r="J7" i="2"/>
  <c r="J11" i="2"/>
  <c r="J80" i="2"/>
  <c r="J20" i="2"/>
  <c r="J75" i="2"/>
  <c r="J105" i="2"/>
  <c r="J59" i="2"/>
  <c r="J102" i="2"/>
  <c r="J6" i="2"/>
  <c r="F6" i="1" s="1"/>
  <c r="J41" i="2"/>
  <c r="J69" i="2"/>
  <c r="J111" i="2"/>
  <c r="J108" i="2"/>
  <c r="J64" i="2"/>
  <c r="J38" i="2"/>
  <c r="J94" i="2"/>
  <c r="H126" i="2"/>
  <c r="J82" i="2"/>
  <c r="F12" i="1" s="1"/>
  <c r="J104" i="2"/>
  <c r="J13" i="2"/>
  <c r="J99" i="2"/>
  <c r="J96" i="2"/>
  <c r="J87" i="2"/>
  <c r="J101" i="2"/>
  <c r="J24" i="2"/>
  <c r="J23" i="2"/>
  <c r="J31" i="2"/>
  <c r="J91" i="2"/>
  <c r="J27" i="2"/>
  <c r="J88" i="2"/>
  <c r="J74" i="2"/>
  <c r="J71" i="2"/>
  <c r="J113" i="2"/>
  <c r="J81" i="2"/>
  <c r="J100" i="2"/>
  <c r="F13" i="1" s="1"/>
  <c r="J79" i="2"/>
  <c r="J22" i="2"/>
  <c r="J77" i="2"/>
  <c r="J61" i="2"/>
  <c r="J58" i="2"/>
  <c r="J70" i="2"/>
  <c r="J110" i="2"/>
  <c r="J66" i="2"/>
  <c r="J107" i="2"/>
  <c r="J40" i="2"/>
  <c r="J37" i="2"/>
  <c r="J93" i="2"/>
  <c r="J97" i="2"/>
  <c r="J14" i="2"/>
  <c r="J42" i="2"/>
  <c r="J98" i="2"/>
  <c r="J86" i="2"/>
  <c r="J72" i="2"/>
  <c r="J30" i="2"/>
  <c r="J90" i="2"/>
  <c r="J26" i="2"/>
  <c r="J73" i="2"/>
  <c r="J39" i="2"/>
  <c r="J78" i="2"/>
  <c r="J21" i="2"/>
  <c r="J76" i="2"/>
  <c r="F11" i="1" s="1"/>
  <c r="J60" i="2"/>
  <c r="J103" i="2"/>
  <c r="J112" i="2"/>
  <c r="J67" i="2"/>
  <c r="J109" i="2"/>
  <c r="J65" i="2"/>
  <c r="J106" i="2"/>
  <c r="J95" i="2"/>
  <c r="J85" i="2"/>
  <c r="J92" i="2"/>
  <c r="J29" i="2"/>
  <c r="J89" i="2"/>
  <c r="J25" i="2"/>
  <c r="G29" i="5" l="1"/>
  <c r="I17" i="1"/>
  <c r="E18" i="1"/>
  <c r="H708" i="3" s="1"/>
  <c r="H29" i="5" l="1"/>
  <c r="I29" i="5" s="1"/>
  <c r="H26" i="5" l="1"/>
  <c r="G26" i="5"/>
  <c r="F26" i="5"/>
  <c r="E26" i="5"/>
  <c r="D26" i="5"/>
  <c r="D28" i="5" s="1"/>
  <c r="E28" i="5" l="1"/>
  <c r="F28" i="5" s="1"/>
  <c r="G28" i="5" s="1"/>
  <c r="H28" i="5" s="1"/>
  <c r="I26" i="5" s="1"/>
</calcChain>
</file>

<file path=xl/sharedStrings.xml><?xml version="1.0" encoding="utf-8"?>
<sst xmlns="http://schemas.openxmlformats.org/spreadsheetml/2006/main" count="5575" uniqueCount="958">
  <si>
    <t>Obra</t>
  </si>
  <si>
    <t>Bancos</t>
  </si>
  <si>
    <t>B.D.I.</t>
  </si>
  <si>
    <t>Encargos Sociais</t>
  </si>
  <si>
    <t>Planilha Orçamentária Resumida</t>
  </si>
  <si>
    <t>Item</t>
  </si>
  <si>
    <t>Descrição</t>
  </si>
  <si>
    <t>Total</t>
  </si>
  <si>
    <t>Peso (%)</t>
  </si>
  <si>
    <t>SERVIÇOS PRELIMINARES</t>
  </si>
  <si>
    <t>ESQUADRIAS</t>
  </si>
  <si>
    <t>Total sem BDI</t>
  </si>
  <si>
    <t>Total do BDI</t>
  </si>
  <si>
    <t>Total Geral</t>
  </si>
  <si>
    <t>Percentual</t>
  </si>
  <si>
    <t>Indice</t>
  </si>
  <si>
    <t xml:space="preserve"> 28,82%</t>
  </si>
  <si>
    <t>Orçamento Sintético</t>
  </si>
  <si>
    <t>Código</t>
  </si>
  <si>
    <t>Banco</t>
  </si>
  <si>
    <t>Und</t>
  </si>
  <si>
    <t>Quant.</t>
  </si>
  <si>
    <t>Valor Unit</t>
  </si>
  <si>
    <t>Valor Unit com BDI</t>
  </si>
  <si>
    <t xml:space="preserve"> 1 </t>
  </si>
  <si>
    <t xml:space="preserve"> 1.1 </t>
  </si>
  <si>
    <t>Próprio</t>
  </si>
  <si>
    <t>m²</t>
  </si>
  <si>
    <t xml:space="preserve"> 1.2 </t>
  </si>
  <si>
    <t>SINAPI</t>
  </si>
  <si>
    <t xml:space="preserve"> 1.3 </t>
  </si>
  <si>
    <t>m³</t>
  </si>
  <si>
    <t>M</t>
  </si>
  <si>
    <t>UN</t>
  </si>
  <si>
    <t xml:space="preserve"> 88489 </t>
  </si>
  <si>
    <t>Composições Analíticas com Preço Unitário</t>
  </si>
  <si>
    <t>Composições Principais</t>
  </si>
  <si>
    <t>Tipo</t>
  </si>
  <si>
    <t>Composição</t>
  </si>
  <si>
    <t>CANT - CANTEIRO DE OBRAS</t>
  </si>
  <si>
    <t>Insumo</t>
  </si>
  <si>
    <t>Material</t>
  </si>
  <si>
    <t>MO sem LS =&gt;</t>
  </si>
  <si>
    <t>LS =&gt;</t>
  </si>
  <si>
    <t>MO com LS =&gt;</t>
  </si>
  <si>
    <t>Valor do BDI =&gt;</t>
  </si>
  <si>
    <t>Valor com BDI =&gt;</t>
  </si>
  <si>
    <t>Composição Auxiliar</t>
  </si>
  <si>
    <t xml:space="preserve"> 88316 </t>
  </si>
  <si>
    <t>SERVENTE COM ENCARGOS COMPLEMENTARES</t>
  </si>
  <si>
    <t>SEDI - SERVIÇOS DIVERSOS</t>
  </si>
  <si>
    <t>H</t>
  </si>
  <si>
    <t xml:space="preserve"> 88309 </t>
  </si>
  <si>
    <t>PEDREIRO COM ENCARGOS COMPLEMENTARES</t>
  </si>
  <si>
    <t>KG</t>
  </si>
  <si>
    <t>FUES - FUNDAÇÕES E ESTRUTURAS</t>
  </si>
  <si>
    <t>REVE - REVESTIMENTO E TRATAMENTO DE SUPERFÍCIES</t>
  </si>
  <si>
    <t>CHOR - CUSTOS HORÁRIOS DE MÁQUINAS E EQUIPAMENTOS</t>
  </si>
  <si>
    <t>CHP</t>
  </si>
  <si>
    <t>CHI</t>
  </si>
  <si>
    <t xml:space="preserve"> 88239 </t>
  </si>
  <si>
    <t>AJUDANTE DE CARPINTEIRO COM ENCARGOS COMPLEMENTARES</t>
  </si>
  <si>
    <t xml:space="preserve"> 88323 </t>
  </si>
  <si>
    <t>TELHADISTA COM ENCARGOS COMPLEMENTARES</t>
  </si>
  <si>
    <t xml:space="preserve"> 88262 </t>
  </si>
  <si>
    <t>CARPINTEIRO DE FORMAS COM ENCARGOS COMPLEMENTARES</t>
  </si>
  <si>
    <t>SEDOP</t>
  </si>
  <si>
    <t>INEL - INSTALAÇÃO ELÉTRICA/ELETRIFICAÇÃO E ILUMINAÇÃO EXTERNA</t>
  </si>
  <si>
    <t xml:space="preserve"> 88264 </t>
  </si>
  <si>
    <t>ELETRICISTA COM ENCARGOS COMPLEMENTARES</t>
  </si>
  <si>
    <t xml:space="preserve"> 88247 </t>
  </si>
  <si>
    <t>AUXILIAR DE ELETRICISTA COM ENCARGOS COMPLEMENTARES</t>
  </si>
  <si>
    <t>MOVT - MOVIMENTO DE TERRA</t>
  </si>
  <si>
    <t>PISO - PISOS</t>
  </si>
  <si>
    <t xml:space="preserve"> 00007334 </t>
  </si>
  <si>
    <t>ADITIVO ADESIVO LIQUIDO PARA ARGAMASSAS DE REVESTIMENTOS CIMENTICIOS</t>
  </si>
  <si>
    <t>L</t>
  </si>
  <si>
    <t xml:space="preserve"> 00001379 </t>
  </si>
  <si>
    <t>CIMENTO PORTLAND COMPOSTO CP II-32</t>
  </si>
  <si>
    <t xml:space="preserve"> 88256 </t>
  </si>
  <si>
    <t>AZULEJISTA OU LADRILHISTA COM ENCARGOS COMPLEMENTARES</t>
  </si>
  <si>
    <t xml:space="preserve"> 00001381 </t>
  </si>
  <si>
    <t>ARGAMASSA COLANTE AC I PARA CERAMICAS</t>
  </si>
  <si>
    <t xml:space="preserve"> 00001287 </t>
  </si>
  <si>
    <t>PISO EM CERAMICA ESMALTADA EXTRA, PEI MAIOR OU IGUAL A 4, FORMATO MENOR OU IGUAL A 2025 CM2</t>
  </si>
  <si>
    <t xml:space="preserve"> 00034357 </t>
  </si>
  <si>
    <t>ESQV - ESQUADRIAS/FERRAGENS/VIDROS</t>
  </si>
  <si>
    <t xml:space="preserve"> 88242 </t>
  </si>
  <si>
    <t>AJUDANTE DE PEDREIRO COM ENCARGOS COMPLEMENTARES</t>
  </si>
  <si>
    <t>PINT - PINTURAS</t>
  </si>
  <si>
    <t xml:space="preserve"> 88310 </t>
  </si>
  <si>
    <t>PINTOR COM ENCARGOS COMPLEMENTARES</t>
  </si>
  <si>
    <t xml:space="preserve"> 00003767 </t>
  </si>
  <si>
    <t xml:space="preserve"> 00007356 </t>
  </si>
  <si>
    <t xml:space="preserve"> 00005318 </t>
  </si>
  <si>
    <t>FUNDO SINTETICO NIVELADOR BRANCO FOSCO PARA MADEIRA</t>
  </si>
  <si>
    <t xml:space="preserve"> 00000536 </t>
  </si>
  <si>
    <t>REVESTIMENTO EM CERAMICA ESMALTADA EXTRA, PEI MENOR OU IGUAL A 3, FORMATO MENOR OU IGUAL A 2025 CM2</t>
  </si>
  <si>
    <t>INHI - INSTALAÇÕES HIDROS SANITÁRIAS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</si>
  <si>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</si>
  <si>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</si>
  <si>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</si>
  <si>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</si>
  <si>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00003146 </t>
  </si>
  <si>
    <t>FITA VEDA ROSCA EM ROLOS DE 18 MM X 10 M (L X C)</t>
  </si>
  <si>
    <t>Memória de Cálculo</t>
  </si>
  <si>
    <t>Cronograma Físico e Financeiro</t>
  </si>
  <si>
    <t>Total Por Etapa</t>
  </si>
  <si>
    <t>30 DIAS</t>
  </si>
  <si>
    <t>60 DIAS</t>
  </si>
  <si>
    <t>90 DIAS</t>
  </si>
  <si>
    <t>120 DIAS</t>
  </si>
  <si>
    <t>Porcentagem</t>
  </si>
  <si>
    <t>Custo</t>
  </si>
  <si>
    <t>Porcentagem Acumulado</t>
  </si>
  <si>
    <t>Custo Acumulado</t>
  </si>
  <si>
    <t>ALTERNATIVAS</t>
  </si>
  <si>
    <t>SELECIONADO</t>
  </si>
  <si>
    <t>COM DESONERAÇÃO</t>
  </si>
  <si>
    <t>OBRA:</t>
  </si>
  <si>
    <t>SEM DESONERAÇÃO</t>
  </si>
  <si>
    <t>LIMITES DE BDI</t>
  </si>
  <si>
    <t>OBRA TIPO</t>
  </si>
  <si>
    <t>Declaro, para os devidos fins, que a alternativa de incidência da contribuição previdênciária</t>
  </si>
  <si>
    <t>Alternativa</t>
  </si>
  <si>
    <t>Construção de edifícios.</t>
  </si>
  <si>
    <t>sobre folha de pagamento para a planilha orçamentária do presente Projeto Básico de Engenharia foi</t>
  </si>
  <si>
    <t>1º Quartil</t>
  </si>
  <si>
    <t>Médio</t>
  </si>
  <si>
    <t>2º Quartil</t>
  </si>
  <si>
    <t>Construção de rodovias e ferrovias.</t>
  </si>
  <si>
    <t>, pois tornou-se a mais vantajosa para esta Adminisção Pública,</t>
  </si>
  <si>
    <t>Saneamento básico.</t>
  </si>
  <si>
    <t>uma vez que a meta estipulada alcançou uma maior área a ser beneficiada.</t>
  </si>
  <si>
    <t>Estações e redes de energia.</t>
  </si>
  <si>
    <t>Obras portuárias, marítmas e fluviais.</t>
  </si>
  <si>
    <t xml:space="preserve">Em ambas planilhas orçamentárias, no cálculo do BDI adotado, foram utilizados os </t>
  </si>
  <si>
    <t>Fornecimento de materiais e equipamentos.</t>
  </si>
  <si>
    <t>mesmos valores de seus componentes e, ainda, declaro que os percentuais relativos aos impostos</t>
  </si>
  <si>
    <t>estão de acordo com o que emanam as leis pertinentes.</t>
  </si>
  <si>
    <t>Para fins de verificação do BDI em relação aos limites definidos no Acórdão 2.622/2013</t>
  </si>
  <si>
    <t>do Plenário do TCU, a obra foi enquadrada como:</t>
  </si>
  <si>
    <t>=</t>
  </si>
  <si>
    <t>Ademais, informo que o percentual de BDI adotado foi obtido a partir da fórmula abaixo,</t>
  </si>
  <si>
    <t>seguida do memorial de cálculo do índice.</t>
  </si>
  <si>
    <t>DESCRIÇÃO</t>
  </si>
  <si>
    <t>VALORES DE REFERÊNCIA</t>
  </si>
  <si>
    <t>BDI ADOTADO</t>
  </si>
  <si>
    <t>Administração Central</t>
  </si>
  <si>
    <t>(AC)</t>
  </si>
  <si>
    <t>Seguro e Garantia (*)</t>
  </si>
  <si>
    <t>(S e G)</t>
  </si>
  <si>
    <t>Risco</t>
  </si>
  <si>
    <t xml:space="preserve">(R) </t>
  </si>
  <si>
    <t>Despesas Financeiras</t>
  </si>
  <si>
    <t>(DF)</t>
  </si>
  <si>
    <t>Lucro</t>
  </si>
  <si>
    <t>(L)</t>
  </si>
  <si>
    <t>TRIBUTOS</t>
  </si>
  <si>
    <t>(I)</t>
  </si>
  <si>
    <t>COFINS</t>
  </si>
  <si>
    <t>PIS</t>
  </si>
  <si>
    <t>ISSQN (**)</t>
  </si>
  <si>
    <t>CPRF</t>
  </si>
  <si>
    <t>TOTAL</t>
  </si>
  <si>
    <t>Notas do modelo:</t>
  </si>
  <si>
    <t>(*)</t>
  </si>
  <si>
    <t>Pode haver garantia desde que previsto no Edital da licitação e no contrato de execução.</t>
  </si>
  <si>
    <t>(**)</t>
  </si>
  <si>
    <t>Podem ser aceitos outros percentuais de ISSQN desde que devidamente embasados na legislação municipal.</t>
  </si>
  <si>
    <t>ENCARGOS SOCIAIS SOBRE MÃO DE OBRA</t>
  </si>
  <si>
    <t>CÓDIGO</t>
  </si>
  <si>
    <t>HORISTA %</t>
  </si>
  <si>
    <t xml:space="preserve">MENSALISTA 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</si>
  <si>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</si>
  <si>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</si>
  <si>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</si>
  <si>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</si>
  <si>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</si>
  <si>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</si>
  <si>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</si>
  <si>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</si>
  <si>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</si>
  <si>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</si>
  <si>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</si>
  <si>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</si>
  <si>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</si>
  <si>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</si>
  <si>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</si>
  <si>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</si>
  <si>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</si>
  <si>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</si>
  <si>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</si>
  <si>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</si>
  <si>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GRUPO B</t>
  </si>
  <si>
    <t>B1</t>
  </si>
  <si>
    <t>Repouso Semanal Remunerado</t>
  </si>
  <si>
    <t>Não incide</t>
  </si>
  <si>
    <t>B2</t>
  </si>
  <si>
    <t>Feriados</t>
  </si>
  <si>
    <t>Não Incide</t>
  </si>
  <si>
    <t>B3</t>
  </si>
  <si>
    <t>Auxilio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</si>
  <si>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</si>
  <si>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</si>
  <si>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</si>
  <si>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</si>
  <si>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</si>
  <si>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</si>
  <si>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</si>
  <si>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</t>
  </si>
  <si>
    <t>B8</t>
  </si>
  <si>
    <t>Auxílio Acidentes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</si>
  <si>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</si>
  <si>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</si>
  <si>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</si>
  <si>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</si>
  <si>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</si>
  <si>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</si>
  <si>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</si>
  <si>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Avíso Prevéo Indenizado</t>
  </si>
  <si>
    <t>C2</t>
  </si>
  <si>
    <t>Avíso préveo trabalhado</t>
  </si>
  <si>
    <t>C3</t>
  </si>
  <si>
    <t>Férias Indenizadas</t>
  </si>
  <si>
    <t>C4</t>
  </si>
  <si>
    <t>Depósito rescizão Sem Justa Causa</t>
  </si>
  <si>
    <t>C5</t>
  </si>
  <si>
    <t>Indenização Adicional</t>
  </si>
  <si>
    <t>C</t>
  </si>
  <si>
    <t>GRUPO D</t>
  </si>
  <si>
    <t>D1</t>
  </si>
  <si>
    <t>Reincidência de Grupo A sobre Grupo B</t>
  </si>
  <si>
    <t>D2</t>
  </si>
  <si>
    <t xml:space="preserve">Reincidência de Grupo A sobre Avíso Prévio Trabalhado e Reincidência Sobre do FGTS sobre Avíso Prévio Indenizado </t>
  </si>
  <si>
    <t>D</t>
  </si>
  <si>
    <t>TOTAL    (A + B + C + D)</t>
  </si>
  <si>
    <t>Equipamento</t>
  </si>
  <si>
    <t>150 DIAS</t>
  </si>
  <si>
    <t>180 DIAS</t>
  </si>
  <si>
    <t xml:space="preserve"> 2 </t>
  </si>
  <si>
    <t xml:space="preserve"> 2.1 </t>
  </si>
  <si>
    <t>COBE - COBERTURA</t>
  </si>
  <si>
    <t xml:space="preserve"> 00006193 </t>
  </si>
  <si>
    <t xml:space="preserve"> 00002692 </t>
  </si>
  <si>
    <t>DESMOLDANTE PROTETOR PARA FORMAS DE MADEIRA, DE BASE OLEOSA EMULSIONADA EM AGUA</t>
  </si>
  <si>
    <t xml:space="preserve"> 00004491 </t>
  </si>
  <si>
    <t>IMPE - IMPERMEABILIZAÇÕES E PROTEÇÕES DIVERSAS</t>
  </si>
  <si>
    <t xml:space="preserve"> 94970 </t>
  </si>
  <si>
    <t xml:space="preserve"> 93282 </t>
  </si>
  <si>
    <t>GUINCHO ELÉTRICO DE COLUNA, CAPACIDADE 400 KG, COM MOTO FREIO, MOTOR TRIFÁSICO DE 1,25 CV - CHI DIURNO. AF_03/2016</t>
  </si>
  <si>
    <t xml:space="preserve"> 93281 </t>
  </si>
  <si>
    <t>GUINCHO ELÉTRICO DE COLUNA, CAPACIDADE 400 KG, COM MOTO FREIO, MOTOR TRIFÁSICO DE 1,25 CV - CHP DIURNO. AF_03/2016</t>
  </si>
  <si>
    <t xml:space="preserve"> 00004517 </t>
  </si>
  <si>
    <t xml:space="preserve"> 88261 </t>
  </si>
  <si>
    <t>CARPINTEIRO DE ESQUADRIA COM ENCARGOS COMPLEMENTARES</t>
  </si>
  <si>
    <t xml:space="preserve"> 91946 </t>
  </si>
  <si>
    <t xml:space="preserve"> 00007258 </t>
  </si>
  <si>
    <t xml:space="preserve"> 00004351 </t>
  </si>
  <si>
    <t>PARAFUSO NIQUELADO 3 1/2" COM ACABAMENTO CROMADO PARA FIXAR PECA SANITARIA, INCLUI PORCA CEGA, ARRUELA E BUCHA DE NYLON TAMANHO S-8</t>
  </si>
  <si>
    <t xml:space="preserve"> 00020247 </t>
  </si>
  <si>
    <t>PREGO DE ACO POLIDO COM CABECA 15 X 15 (1 1/4 X 13)</t>
  </si>
  <si>
    <t xml:space="preserve"> 00007173 </t>
  </si>
  <si>
    <t>TELHA DE BARRO / CERAMICA, NAO ESMALTADA, TIPO COLONIAL, CANAL, PLAN, PAULISTA, COMPRIMENTO DE *44 A 50* CM, RENDIMENTO DE COBERTURA DE *26* TELHAS/M2</t>
  </si>
  <si>
    <t>MIL</t>
  </si>
  <si>
    <t xml:space="preserve"> 87337 </t>
  </si>
  <si>
    <t xml:space="preserve"> 00007181 </t>
  </si>
  <si>
    <t>CUMEEIRA PARA TELHA CERAMICA, COMPRIMENTO DE *41* CM, RENDIMENTO DE *3* TELHAS/M</t>
  </si>
  <si>
    <t xml:space="preserve"> 2</t>
  </si>
  <si>
    <t xml:space="preserve"> 3</t>
  </si>
  <si>
    <t xml:space="preserve"> 4</t>
  </si>
  <si>
    <t xml:space="preserve"> 5</t>
  </si>
  <si>
    <t xml:space="preserve"> 6</t>
  </si>
  <si>
    <t xml:space="preserve"> 7</t>
  </si>
  <si>
    <t xml:space="preserve"> 8</t>
  </si>
  <si>
    <t xml:space="preserve"> 9</t>
  </si>
  <si>
    <t xml:space="preserve"> 10</t>
  </si>
  <si>
    <t>Desonerado: 
0,00%</t>
  </si>
  <si>
    <t>SERVIÇOS FINAIS</t>
  </si>
  <si>
    <t xml:space="preserve"> 3.1 </t>
  </si>
  <si>
    <t xml:space="preserve"> 3.1.1 </t>
  </si>
  <si>
    <t xml:space="preserve"> 3.1.2 </t>
  </si>
  <si>
    <t xml:space="preserve"> 3.1.3 </t>
  </si>
  <si>
    <t xml:space="preserve"> 4 </t>
  </si>
  <si>
    <t xml:space="preserve"> 4.1 </t>
  </si>
  <si>
    <t xml:space="preserve"> 4.1.1 </t>
  </si>
  <si>
    <t xml:space="preserve"> 4.2 </t>
  </si>
  <si>
    <t xml:space="preserve"> 4.2.1 </t>
  </si>
  <si>
    <t xml:space="preserve"> 5 </t>
  </si>
  <si>
    <t xml:space="preserve"> 5.1 </t>
  </si>
  <si>
    <t xml:space="preserve"> 5.2 </t>
  </si>
  <si>
    <t xml:space="preserve"> 6 </t>
  </si>
  <si>
    <t xml:space="preserve"> 6.1 </t>
  </si>
  <si>
    <t xml:space="preserve"> 91341 </t>
  </si>
  <si>
    <t xml:space="preserve"> 6.2 </t>
  </si>
  <si>
    <t xml:space="preserve"> 7 </t>
  </si>
  <si>
    <t xml:space="preserve"> 7.1 </t>
  </si>
  <si>
    <t xml:space="preserve"> 7.2 </t>
  </si>
  <si>
    <t xml:space="preserve"> 7.3 </t>
  </si>
  <si>
    <t xml:space="preserve"> 8 </t>
  </si>
  <si>
    <t xml:space="preserve"> 8.1 </t>
  </si>
  <si>
    <t xml:space="preserve"> 9 </t>
  </si>
  <si>
    <t xml:space="preserve"> 9.1 </t>
  </si>
  <si>
    <t xml:space="preserve"> 9.2 </t>
  </si>
  <si>
    <t xml:space="preserve"> 9.3 </t>
  </si>
  <si>
    <t xml:space="preserve"> 10 </t>
  </si>
  <si>
    <t xml:space="preserve"> 10.1 </t>
  </si>
  <si>
    <t xml:space="preserve"> 94319 </t>
  </si>
  <si>
    <t xml:space="preserve"> 100742 </t>
  </si>
  <si>
    <t xml:space="preserve"> 86888 </t>
  </si>
  <si>
    <t xml:space="preserve"> 97599 </t>
  </si>
  <si>
    <t xml:space="preserve"> 96985 </t>
  </si>
  <si>
    <t>CJ</t>
  </si>
  <si>
    <t xml:space="preserve"> 00000147 </t>
  </si>
  <si>
    <t xml:space="preserve"> 00004813 </t>
  </si>
  <si>
    <t xml:space="preserve"> 91170 </t>
  </si>
  <si>
    <t xml:space="preserve"> 88631 </t>
  </si>
  <si>
    <t xml:space="preserve"> 00000142 </t>
  </si>
  <si>
    <t>310ML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</si>
  <si>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</si>
  <si>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</si>
  <si>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</si>
  <si>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</si>
  <si>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 xml:space="preserve"> 91533 </t>
  </si>
  <si>
    <t>COMPACTADOR DE SOLOS DE PERCUSSÃO (SOQUETE) COM MOTOR A GASOLINA 4 TEMPOS, POTÊNCIA 4 CV - CHP DIURNO. AF_08/2015</t>
  </si>
  <si>
    <t xml:space="preserve"> 00006079 </t>
  </si>
  <si>
    <t>ARGILA, ARGILA VERMELHA OU ARGILA ARENOSA (RETIRADA NA JAZIDA, SEM TRANSPORTE)</t>
  </si>
  <si>
    <t xml:space="preserve"> 94968 </t>
  </si>
  <si>
    <t xml:space="preserve"> 00007311 </t>
  </si>
  <si>
    <t>TINTA ESMALTE SINTETICO PREMIUM ACETINADO</t>
  </si>
  <si>
    <t xml:space="preserve"> 00038383 </t>
  </si>
  <si>
    <t>LIXA D'AGUA EM FOLHA, GRAO 100</t>
  </si>
  <si>
    <t xml:space="preserve"> 00000122 </t>
  </si>
  <si>
    <t xml:space="preserve"> 00020083 </t>
  </si>
  <si>
    <t xml:space="preserve"> 00003148 </t>
  </si>
  <si>
    <t>FITA VEDA ROSCA EM ROLOS DE 18 MM X 50 M (L X C)</t>
  </si>
  <si>
    <t xml:space="preserve"> 00037329 </t>
  </si>
  <si>
    <t xml:space="preserve"> 00038774 </t>
  </si>
  <si>
    <t>LUMINARIA DE EMERGENCIA 30 LEDS, POTENCIA 2 W, BATERIA DE LITIO, AUTONOMIA DE 6 HORAS</t>
  </si>
  <si>
    <t xml:space="preserve"> 00003379 </t>
  </si>
  <si>
    <t xml:space="preserve"> 98463 </t>
  </si>
  <si>
    <t xml:space="preserve"> 00037556 </t>
  </si>
  <si>
    <t xml:space="preserve"> 3 </t>
  </si>
  <si>
    <t>OBRA</t>
  </si>
  <si>
    <t>RIOL - Serviços de Construções LTDA.</t>
  </si>
  <si>
    <t xml:space="preserve"> 6.3 </t>
  </si>
  <si>
    <t xml:space="preserve"> 6.4 </t>
  </si>
  <si>
    <t xml:space="preserve"> 6.5 </t>
  </si>
  <si>
    <t xml:space="preserve"> 87273 </t>
  </si>
  <si>
    <t xml:space="preserve"> 87251 </t>
  </si>
  <si>
    <t xml:space="preserve"> 98111 </t>
  </si>
  <si>
    <t>CNPJ: 09.335.585/0001-75</t>
  </si>
  <si>
    <t>VASO SANITÁRIO SIFONADO COM CAIXA ACOPLADA LOUÇA BRANCA - FORNECIMENTO E INSTALAÇÃO. AF_01/2020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</si>
  <si>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</si>
  <si>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</si>
  <si>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>PORTA EM ALUMÍNIO DE ABRIR TIPO VENEZIANA COM GUARNIÇÃO, FIXAÇÃO COM PARAFUSOS - FORNECIMENTO E INSTALAÇÃO. AF_12/2019</t>
  </si>
  <si>
    <t>ARGAMASSA TRAÇO 1:4 (EM VOLUME DE CIMENTO E AREIA MÉDIA ÚMIDA), PREPARO MANUAL. AF_08/2019</t>
  </si>
  <si>
    <t xml:space="preserve"> 100659 </t>
  </si>
  <si>
    <t>ALIZAR DE 5X1,5CM PARA PORTA FIXADO COM PREGOS, PADRÃO MÉDIO - FORNECIMENTO E INSTALAÇÃO. AF_12/2019</t>
  </si>
  <si>
    <t xml:space="preserve"> 90806 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</si>
  <si>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</si>
  <si>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</si>
  <si>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91297 </t>
  </si>
  <si>
    <t>PORTA DE MADEIRA FRISADA, SEMI-OCA (LEVE OU MÉDIA), 80X210CM, ESPESSURA DE 3,5CM, INCLUSO DOBRADIÇAS - FORNECIMENTO E INSTALAÇÃO. AF_12/2019</t>
  </si>
  <si>
    <t xml:space="preserve"> 88629 </t>
  </si>
  <si>
    <t>ARGAMASSA TRAÇO 1:3 (EM VOLUME DE CIMENTO E AREIA MÉDIA ÚMIDA), PREPARO MANUAL. AF_08/2019</t>
  </si>
  <si>
    <t>SELANTE ELASTICO MONOCOMPONENTE A BASE DE POLIURETANO (PU) PARA JUNTAS DIVERSAS</t>
  </si>
  <si>
    <t xml:space="preserve"> 00004408 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</si>
  <si>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</si>
  <si>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00000370 </t>
  </si>
  <si>
    <t>AREIA MEDIA - POSTO JAZIDA/FORNECEDOR (RETIRADO NA JAZIDA, SEM TRANSPORTE)</t>
  </si>
  <si>
    <t xml:space="preserve"> 87298 </t>
  </si>
  <si>
    <t>ARGAMASSA TRAÇO 1:3 (EM VOLUME DE CIMENTO E AREIA MÉDIA ÚMIDA) PARA CONTRAPISO, PREPARO MECÂNICO COM BETONEIRA 400 L. AF_08/2019</t>
  </si>
  <si>
    <t xml:space="preserve"> 00003671 </t>
  </si>
  <si>
    <t>JUNTA PLASTICA DE DILATACAO PARA PISOS, COR CINZA, 17 X 3 MM (ALTURA X ESPESSURA)</t>
  </si>
  <si>
    <t>DROP - DRENAGEM/OBRAS DE CONTENÇÃO / POÇOS DE VISITA E CAIXAS</t>
  </si>
  <si>
    <t xml:space="preserve"> 00043651 </t>
  </si>
  <si>
    <t>MASSA ACRILICA PARA SUPERFICIES INTERNAS E EXTERNAS</t>
  </si>
  <si>
    <t>PAVI - PAVIMENTAÇÃO</t>
  </si>
  <si>
    <t xml:space="preserve"> 00013393 </t>
  </si>
  <si>
    <t>QUADRO DE DISTRIBUICAO COM BARRAMENTO TRIFASICO, DE EMBUTIR, EM CHAPA DE ACO GALVANIZADO, PARA 12 DISJUNTORES DIN, 100 A</t>
  </si>
  <si>
    <t xml:space="preserve"> 101618 </t>
  </si>
  <si>
    <t>PREPARO DE FUNDO DE VALA COM LARGURA MENOR QUE 1,5 M, COM CAMADA DE AREIA, LANÇAMENTO MANUAL. AF_08/2020</t>
  </si>
  <si>
    <t xml:space="preserve"> 00034643 </t>
  </si>
  <si>
    <t>INSTALAÇÕES HIDRÁULICAS</t>
  </si>
  <si>
    <t>INSTALAÇÕES ELÉTRICAS</t>
  </si>
  <si>
    <t xml:space="preserve"> 00000144 </t>
  </si>
  <si>
    <t xml:space="preserve"> 00000076 </t>
  </si>
  <si>
    <t>Transporte fluvial de pessoal, materiais e insumos, inclusíve carga e descarga</t>
  </si>
  <si>
    <t>T/km</t>
  </si>
  <si>
    <t xml:space="preserve"> 00000001 </t>
  </si>
  <si>
    <t>SERT - SERVIÇOS TÉCNICOS</t>
  </si>
  <si>
    <t>MÊS</t>
  </si>
  <si>
    <t xml:space="preserve"> 40811 </t>
  </si>
  <si>
    <t>ENGENHEIRO CIVIL DE OBRA JUNIOR (MENSALISTA)</t>
  </si>
  <si>
    <t>Mão de Obra</t>
  </si>
  <si>
    <t>Mês</t>
  </si>
  <si>
    <t xml:space="preserve"> 40819 </t>
  </si>
  <si>
    <t>MESTRE DE OBRAS (MENSALISTA)</t>
  </si>
  <si>
    <t xml:space="preserve"> 100689 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</si>
  <si>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</si>
  <si>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</si>
  <si>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</si>
  <si>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 xml:space="preserve"> 00039025 </t>
  </si>
  <si>
    <t>PORTA DE ABRIR EM ALUMINIO TIPO VENEZIANA, ACABAMENTO ANODIZADO NATURAL, SEM GUARNICAO/ALIZAR/VISTA, 87 X 210 CM</t>
  </si>
  <si>
    <t xml:space="preserve"> 89707 </t>
  </si>
  <si>
    <t xml:space="preserve"> 00005103 </t>
  </si>
  <si>
    <t xml:space="preserve"> 100475 </t>
  </si>
  <si>
    <t>ARGAMASSA TRAÇO 1:3 (EM VOLUME DE CIMENTO E AREIA MÉDIA ÚMIDA) COM ADIÇÃO DE IMPERMEABILIZANTE, PREPARO MECÂNICO COM BETONEIRA 400 L. AF_08/2019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</si>
  <si>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</si>
  <si>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</si>
  <si>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</si>
  <si>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</si>
  <si>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97735 </t>
  </si>
  <si>
    <t>PEÇA RETANGULAR PRÉ-MOLDADA, VOLUME DE CONCRETO DE 30 A 100 LITROS, TAXA DE AÇO APROXIMADA DE 30KG/M³. AF_01/2018</t>
  </si>
  <si>
    <t xml:space="preserve"> 87316 </t>
  </si>
  <si>
    <t>ARGAMASSA TRAÇO 1:4 (EM VOLUME DE CIMENTO E AREIA GROSSA ÚMIDA) PARA CHAPISCO CONVENCIONAL, PREPARO MECÂNICO COM BETONEIRA 400 L. AF_08/2019</t>
  </si>
  <si>
    <t xml:space="preserve"> 00005069 </t>
  </si>
  <si>
    <t>PREGO DE ACO POLIDO COM CABECA 17 X 27 (2 1/2 X 11)</t>
  </si>
  <si>
    <t xml:space="preserve"> 86877 </t>
  </si>
  <si>
    <t>VÁLVULA EM METAL CROMADO 1.1/2 X 1.1/2 PARA TANQUE OU LAVATÓRIO, COM OU SEM LADRÃO - FORNECIMENTO E INSTALAÇÃO. AF_01/2020</t>
  </si>
  <si>
    <t xml:space="preserve"> 86883 </t>
  </si>
  <si>
    <t>SIFÃO DO TIPO FLEXÍVEL EM PVC 1  X 1.1/2  - FORNECIMENTO E INSTALAÇÃO. AF_01/2020</t>
  </si>
  <si>
    <t xml:space="preserve"> 86914 </t>
  </si>
  <si>
    <t>TORNEIRA CROMADA 1/2 OU 3/4 PARA TANQUE, PADRÃO MÉDIO - FORNECIMENTO E INSTALAÇÃO. AF_01/2020</t>
  </si>
  <si>
    <t xml:space="preserve"> 86881 </t>
  </si>
  <si>
    <t>SIFÃO DO TIPO GARRAFA EM METAL CROMADO 1 X 1.1/2 - FORNECIMENTO E INSTALAÇÃO. AF_01/2020</t>
  </si>
  <si>
    <t xml:space="preserve"> 86915 </t>
  </si>
  <si>
    <t xml:space="preserve"> 00036791 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</si>
  <si>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</si>
  <si>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</si>
  <si>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97600 </t>
  </si>
  <si>
    <t xml:space="preserve"> 00012214 </t>
  </si>
  <si>
    <t>LAMPADA VAPOR MERCURIO 125 W (BASE E27)</t>
  </si>
  <si>
    <t xml:space="preserve"> 00013390 </t>
  </si>
  <si>
    <t>REFLETOR REDONDO EM ALUMINIO ANODIZADO PARA LAMPADA VAPOR DE MERCURIO/SODIO, CORPO EM ALUMINIO COM PINTURA EPOXI, PARA LAMPADA E-27 DE 300 W, COM SUPORTE REDONDO E ALCA REGULAVEL PARA FIXACAO.</t>
  </si>
  <si>
    <t xml:space="preserve"> 00039374 </t>
  </si>
  <si>
    <t>REATOR INTERNO/INTEGRADO PARA LAMPADA VAPOR METALICO 400 W, ALTO FATOR DE POTENCIA</t>
  </si>
  <si>
    <t>COBERTURA</t>
  </si>
  <si>
    <t>REVESTIMENTO PAREDE</t>
  </si>
  <si>
    <t>PISO</t>
  </si>
  <si>
    <t>PINTURA</t>
  </si>
  <si>
    <t>PROTEÇÃO E COMBATE A INCÊNDIO</t>
  </si>
  <si>
    <t xml:space="preserve"> 00000036 </t>
  </si>
  <si>
    <t>ADMINISTRAÇÃO LOCAL</t>
  </si>
  <si>
    <t>TELHAS CERÂMICAS</t>
  </si>
  <si>
    <t xml:space="preserve"> 100330 </t>
  </si>
  <si>
    <t>RETIRADA E RECOLOCAÇÃO DE  TELHA CERÂMICA CAPA-CANAL, COM ATÉ DUAS ÁGUAS, INCLUSO IÇAMENTO. AF_07/2019</t>
  </si>
  <si>
    <t xml:space="preserve"> 4.1.2 </t>
  </si>
  <si>
    <t xml:space="preserve"> 100392 </t>
  </si>
  <si>
    <t>RETIRADA E RECOLOCAÇÃO DE RIPA EM TELHADOS DE ATÉ 2 ÁGUAS COM TELHA CERÂMICA CAPA-CANAL, INCLUSO TRANSPORTE VERTICAL. AF_07/2019</t>
  </si>
  <si>
    <t xml:space="preserve"> 4.1.3 </t>
  </si>
  <si>
    <t xml:space="preserve"> 94226 </t>
  </si>
  <si>
    <t>SUBCOBERTURA COM MANTA PLÁSTICA REVESTIDA POR PELÍCULA DE ALUMÍNO, INCLUSO TRANSPORTE VERTICAL. AF_07/2019</t>
  </si>
  <si>
    <t xml:space="preserve"> 4.1.4 </t>
  </si>
  <si>
    <t xml:space="preserve"> 94219 </t>
  </si>
  <si>
    <t>CUMEEIRA E ESPIGÃO PARA TELHA CERÂMICA EMBOÇADA COM ARGAMASSA TRAÇO 1:2:9 (CIMENTO, CAL E AREIA), PARA TELHADOS COM MAIS DE 2 ÁGUAS, INCLUSO TRANSPORTE VERTICAL. AF_07/2019</t>
  </si>
  <si>
    <t xml:space="preserve"> 4.2.2 </t>
  </si>
  <si>
    <t xml:space="preserve"> 4.2.3 </t>
  </si>
  <si>
    <t xml:space="preserve"> 4.2.4 </t>
  </si>
  <si>
    <t xml:space="preserve"> 4.2.5 </t>
  </si>
  <si>
    <t xml:space="preserve"> 4.3 </t>
  </si>
  <si>
    <t>DIVERSOS</t>
  </si>
  <si>
    <t xml:space="preserve"> 4.3.1 </t>
  </si>
  <si>
    <t xml:space="preserve"> 95135 </t>
  </si>
  <si>
    <t>LOCACAO DE ANDAIME METALICO TUBULAR TIPO TORRE</t>
  </si>
  <si>
    <t>M/MES</t>
  </si>
  <si>
    <t>MADEIRA</t>
  </si>
  <si>
    <t xml:space="preserve"> 97644 </t>
  </si>
  <si>
    <t>REMOÇÃO DE PORTAS, DE FORMA MANUAL, SEM REAPROVEITAMENTO. AF_09/2023</t>
  </si>
  <si>
    <t>KIT DE PORTA DE MADEIRA FRISADA, SEMI-OCA (LEVE OU MÉDIA), PADRÃO MÉDIO, 80X210CM, ESPESSURA DE 3,5CM, ITENS INCLUSOS: DOBRADIÇAS, MONTAGEM E INSTALAÇÃO DE BATENTE, FECHADURA COM EXECUÇÃO DO FURO - FORNECIMENTO E INSTALAÇÃO. AF_12/2019</t>
  </si>
  <si>
    <t xml:space="preserve"> 100685 </t>
  </si>
  <si>
    <t>KIT DE PORTA DE MADEIRA PARA VERNIZ, SEMI-OCA (LEVE OU MÉDIA), PADRÃO MÉDIO, 90X210CM, ESPESSURA DE 3,5CM, ITENS INCLUSOS: DOBRADIÇAS, MONTAGEM E INSTALAÇÃO DE BATENTE, FECHADURA COM EXECUÇÃO DO FURO - FORNECIMENTO E INSTALAÇÃO. AF_12/2019</t>
  </si>
  <si>
    <t>METÁLICAS</t>
  </si>
  <si>
    <t xml:space="preserve"> 97645 </t>
  </si>
  <si>
    <t>REMOÇÃO DE JANELAS, DE FORMA MANUAL, SEM REAPROVEITAMENTO. AF_09/2023</t>
  </si>
  <si>
    <t xml:space="preserve"> 090071 </t>
  </si>
  <si>
    <t>FERRAGENS</t>
  </si>
  <si>
    <t xml:space="preserve"> 91306 </t>
  </si>
  <si>
    <t>FECHADURA DE EMBUTIR PARA PORTAS INTERNAS, COMPLETA, ACABAMENTO PADRÃO MÉDIO, COM EXECUÇÃO DE FURO - FORNECIMENTO E INSTALAÇÃO. AF_12/2019</t>
  </si>
  <si>
    <t>QUADROS</t>
  </si>
  <si>
    <t xml:space="preserve"> 7.1.1 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</si>
  <si>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</si>
  <si>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</si>
  <si>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7.1.2 </t>
  </si>
  <si>
    <t xml:space="preserve"> 93653 </t>
  </si>
  <si>
    <t>DISJUNTOR MONOPOLAR TIPO DIN, CORRENTE NOMINAL DE 10A - FORNECIMENTO E INSTALAÇÃO. AF_10/2020</t>
  </si>
  <si>
    <t xml:space="preserve"> 7.1.3 </t>
  </si>
  <si>
    <t xml:space="preserve"> 00000143 </t>
  </si>
  <si>
    <t>INTERRUPTOR DIFERENCIAL RESIDUAL 4P-40A-300mA - Copia da SEDOP (171418)</t>
  </si>
  <si>
    <t>ATERRAMENTO</t>
  </si>
  <si>
    <t xml:space="preserve"> 7.2.1 </t>
  </si>
  <si>
    <t>HASTE DE ATERRAMENTO, DIÂMETRO 5/8", COM 3 METROS - FORNECIMENTO E INSTALAÇÃO. AF_08/2023</t>
  </si>
  <si>
    <t xml:space="preserve"> 7.2.2 </t>
  </si>
  <si>
    <t xml:space="preserve"> 95727 </t>
  </si>
  <si>
    <t>ELETRODUTO RÍGIDO SOLDÁVEL, PVC, DN 25 MM (3/4''), APARENTE - FORNECIMENTO E INSTALAÇÃO. AF_10/2022</t>
  </si>
  <si>
    <t xml:space="preserve"> 7.2.3 </t>
  </si>
  <si>
    <t>CAIXA DE INSPEÇÃO PARA ATERRAMENTO, CIRCULAR, EM POLIETILENO, DIÂMETRO INTERNO = 0,3 M. AF_12/2020</t>
  </si>
  <si>
    <t xml:space="preserve"> 7.2.4 </t>
  </si>
  <si>
    <t xml:space="preserve"> 96971 </t>
  </si>
  <si>
    <t>CORDOALHA DE COBRE NU 16 MM², NÃO ENTERRADA, COM ISOLADOR - FORNECIMENTO E INSTALAÇÃO. AF_12/2017</t>
  </si>
  <si>
    <t xml:space="preserve"> 7.2.5 </t>
  </si>
  <si>
    <t xml:space="preserve"> 72260 </t>
  </si>
  <si>
    <t>TERMINAL OU CONECTOR DE PRESSAO - PARA CABO 16MM2 - FORNECIMENTO E INSTALACAO</t>
  </si>
  <si>
    <t xml:space="preserve"> 7.3.1 </t>
  </si>
  <si>
    <t xml:space="preserve"> 7.3.2 </t>
  </si>
  <si>
    <t xml:space="preserve"> 171491 </t>
  </si>
  <si>
    <t>PT</t>
  </si>
  <si>
    <t>LUMINÁRIAS</t>
  </si>
  <si>
    <t xml:space="preserve"> 97665 </t>
  </si>
  <si>
    <t>REMOÇÃO DE LUMINÁRIAS, DE FORMA MANUAL, SEM REAPROVEITAMENTO. AF_09/2023</t>
  </si>
  <si>
    <t xml:space="preserve"> 103782 </t>
  </si>
  <si>
    <t>LUMINÁRIA TIPO PLAFON CIRCULAR, DE SOBREPOR, COM LED DE 12/13 W - FORNECIMENTO E INSTALAÇÃO. AF_03/2022</t>
  </si>
  <si>
    <t xml:space="preserve"> 97607 </t>
  </si>
  <si>
    <t>LUMINÁRIA ARANDELA TIPO TARTARUGA, DE SOBREPOR, COM 1 LÂMPADA LED DE 6 W, SEM REATOR - FORNECIMENTO E INSTALAÇÃO. AF_02/2020</t>
  </si>
  <si>
    <t>TOMADAS E INTERRUPTORES</t>
  </si>
  <si>
    <t xml:space="preserve"> 97660 </t>
  </si>
  <si>
    <t>REMOÇÃO DE INTERRUPTORES/TOMADAS ELÉTRICAS, DE FORMA MANUAL, SEM REAPROVEITAMENTO. AF_09/2023</t>
  </si>
  <si>
    <t xml:space="preserve"> 91955 </t>
  </si>
  <si>
    <t>INTERRUPTOR PARALELO (1 MÓDULO), 10A/250V, INCLUINDO SUPORTE E PLACA - FORNECIMENTO E INSTALAÇÃO. AF_03/2023</t>
  </si>
  <si>
    <t xml:space="preserve"> 91961 </t>
  </si>
  <si>
    <t>INTERRUPTOR PARALELO (2 MÓDULOS), 10A/250V, INCLUINDO SUPORTE E PLACA - FORNECIMENTO E INSTALAÇÃO. AF_03/2023</t>
  </si>
  <si>
    <t xml:space="preserve"> 91992 </t>
  </si>
  <si>
    <t>TOMADA ALTA DE EMBUTIR (1 MÓDULO), 2P+T 10 A, INCLUINDO SUPORTE E PLACA - FORNECIMENTO E INSTALAÇÃO. AF_03/2023</t>
  </si>
  <si>
    <t>MANUTENÇÃO DE INSTAÇÕES</t>
  </si>
  <si>
    <t xml:space="preserve"> 8.1.1 </t>
  </si>
  <si>
    <t xml:space="preserve"> 180844 </t>
  </si>
  <si>
    <t>REVISÃO DE PONTO DE ÁGUA</t>
  </si>
  <si>
    <t xml:space="preserve"> 8.1.2 </t>
  </si>
  <si>
    <t xml:space="preserve"> 180845 </t>
  </si>
  <si>
    <t>REVISÃO DE PONTO DE ESGOTO</t>
  </si>
  <si>
    <t xml:space="preserve"> 8.2 </t>
  </si>
  <si>
    <t>APARELHOS SANITÁRIOS</t>
  </si>
  <si>
    <t xml:space="preserve"> 8.2.1 </t>
  </si>
  <si>
    <t xml:space="preserve"> 97666 </t>
  </si>
  <si>
    <t>REMOÇÃO DE METAIS SANITÁRIOS, DE FORMA MANUAL, SEM REAPROVEITAMENTO. AF_09/2023</t>
  </si>
  <si>
    <t xml:space="preserve"> 8.2.2 </t>
  </si>
  <si>
    <t xml:space="preserve"> 86941 </t>
  </si>
  <si>
    <t>LAVATÓRIO LOUÇA BRANCA COM COLUNA, 45 X 55CM OU EQUIVALENTE, PADRÃO MÉDIO, INCLUSO SIFÃO TIPO GARRAFA, VÁLVULA E ENGATE FLEXÍVEL DE 40CM EM METAL CROMADO, COM TORNEIRA CROMADA DE MESA, PADRÃO MÉDIO - FORNECIMENTO E INSTALAÇÃO. AF_01/2020</t>
  </si>
  <si>
    <t>TORNEIRA CROMADA DE MESA, 1/2 OU 3/4, PARA LAVATÓRIO, PADRÃO MÉDIO - FORNECIMENTO E INSTALAÇÃO. AF_01/2020</t>
  </si>
  <si>
    <t xml:space="preserve"> 86910 </t>
  </si>
  <si>
    <t>TORNEIRA CROMADA TUBO MÓVEL, DE PAREDE, 1/2 OU 3/4, PARA PIA DE COZINHA, PADRÃO MÉDIO - FORNECIMENTO E INSTALAÇÃO. AF_01/2020</t>
  </si>
  <si>
    <t xml:space="preserve"> 100869 </t>
  </si>
  <si>
    <t>BARRA DE APOIO RETA, EM ACO INOX POLIDO, COMPRIMENTO 90 CM,  FIXADA NA PAREDE - FORNECIMENTO E INSTALAÇÃO. AF_01/2020</t>
  </si>
  <si>
    <t>CAIXA SIFONADA, PVC, DN 100 X 100 X 50 MM, JUNTA ELÁSTICA, FORNECIDA E INSTALADA EM RAMAL DE DESCARGA OU EM RAMAL DE ESGOTO SANITÁRIO. AF_08/2022</t>
  </si>
  <si>
    <t xml:space="preserve"> 103018 </t>
  </si>
  <si>
    <t>VÁLVULA DE DESCARGA METÁLICA, BASE 1 1/4", ACABAMENTO METALICO CROMADO - FORNECIMENTO E INSTALAÇÃO. AF_08/2021</t>
  </si>
  <si>
    <t xml:space="preserve"> 8.3 </t>
  </si>
  <si>
    <t xml:space="preserve"> 8.3.1 </t>
  </si>
  <si>
    <t xml:space="preserve"> 97903 </t>
  </si>
  <si>
    <t>CAIXA ENTERRADA HIDRÁULICA RETANGULAR EM ALVENARIA COM TIJOLOS CERÂMICOS MACIÇOS, DIMENSÕES INTERNAS: 0,8X0,8X0,6 M PARA REDE DE ESGOTO. AF_12/2020</t>
  </si>
  <si>
    <t xml:space="preserve"> 98102 </t>
  </si>
  <si>
    <t>CAIXA DE GORDURA SIMPLES, CIRCULAR, EM CONCRETO PRÉ-MOLDADO, DIÂMETRO INTERNO = 0,4 M, ALTURA INTERNA = 0,4 M. AF_12/2020</t>
  </si>
  <si>
    <t xml:space="preserve"> 102113 </t>
  </si>
  <si>
    <t>BOMBA CENTRÍFUGA, TRIFÁSICA, 1 CV OU 0,99 HP, HM 14 A 40 M, Q 0,6 A 8,4 M3/H - FORNECIMENTO E INSTALAÇÃO. AF_12/2020</t>
  </si>
  <si>
    <t xml:space="preserve"> 94796 </t>
  </si>
  <si>
    <t>TORNEIRA DE BOIA PARA CAIXA D</t>
  </si>
  <si>
    <t xml:space="preserve"> 180460 </t>
  </si>
  <si>
    <t>RESERVATÓRIO EM POLIPROPILENO DE  500 L</t>
  </si>
  <si>
    <t xml:space="preserve"> 87905 </t>
  </si>
  <si>
    <t>CHAPISCO APLICADO EM ALVENARIA (COM PRESENÇA DE VÃOS) E ESTRUTURAS DE CONCRETO DE FACHADA, COM COLHER DE PEDREIRO.  ARGAMASSA TRAÇO 1:3 COM PREPARO EM BETONEIRA 400L. AF_10/2022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</si>
  <si>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</si>
  <si>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</si>
  <si>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97633 </t>
  </si>
  <si>
    <t>DEMOLIÇÃO DE REVESTIMENTO CERÂMICO, DE FORMA MANUAL, SEM REAPROVEITAMENTO. AF_09/2023</t>
  </si>
  <si>
    <t>REVESTIMENTO CERÂMICO PARA PAREDES INTERNAS COM PLACAS TIPO ESMALTADA EXTRA  DE DIMENSÕES 33X45 CM APLICADAS NA ALTURA INTEIRA DAS PAREDES. AF_02/2023_PE</t>
  </si>
  <si>
    <t xml:space="preserve"> 97632 </t>
  </si>
  <si>
    <t>DEMOLIÇÃO DE RODAPÉ CERÂMICO, DE FORMA MANUAL, SEM REAPROVEITAMENTO. AF_09/2023</t>
  </si>
  <si>
    <t xml:space="preserve"> 88477 </t>
  </si>
  <si>
    <t>CONTRAPISO COM ARGAMASSA AUTONIVELANTE, APLICADO SOBRE LAJE, ADERIDO, ESPESSURA 3CM. AF_07/2021</t>
  </si>
  <si>
    <t>REVESTIMENTO CERÂMICO PARA PISO COM PLACAS TIPO ESMALTADA EXTRA DE DIMENSÕES 45X45 CM APLICADA EM AMBIENTES DE ÁREA MAIOR QUE 10 M2. AF_02/2023_PE</t>
  </si>
  <si>
    <t xml:space="preserve"> 88648 </t>
  </si>
  <si>
    <t>RODAPÉ CERÂMICO DE 7CM DE ALTURA COM PLACAS TIPO ESMALTADA EXTRA  DE DIMENSÕES 35X35CM. AF_02/2023</t>
  </si>
  <si>
    <t xml:space="preserve"> 88485 </t>
  </si>
  <si>
    <t>FUNDO SELADOR ACRÍLICO, APLICAÇÃO MANUAL EM PAREDE, UMA DEMÃO. AF_04/2023</t>
  </si>
  <si>
    <t xml:space="preserve"> 96129 </t>
  </si>
  <si>
    <t>APLICAÇÃO MANUAL DE MASSA ACRÍLICA EM SUPERFÍCIES INTERNAS DE SACADA DE EDIFÍCIOS DE MÚLTIPLOS PAVIMENTOS, UMA DEMÃO. AF_05/2017</t>
  </si>
  <si>
    <t>PINTURA LÁTEX ACRÍLICA PREMIUM, APLICAÇÃO MANUAL EM PAREDES, DUAS DEMÃOS. AF_04/2023</t>
  </si>
  <si>
    <t xml:space="preserve"> 102197 </t>
  </si>
  <si>
    <t>PINTURA FUNDO NIVELADOR ALQUÍDICO BRANCO EM MADEIRA. AF_01/2021</t>
  </si>
  <si>
    <t xml:space="preserve"> 102200 </t>
  </si>
  <si>
    <t>APLICAÇÃO MASSA ALQUÍDICA PARA MADEIRA, PARA PINTURA COM TINTA DE ACABAMENTO (PIGMENTADA). AF_01/2021</t>
  </si>
  <si>
    <t xml:space="preserve"> 102220 </t>
  </si>
  <si>
    <t>PINTURA TINTA DE ACABAMENTO (PIGMENTADA) ESMALTE SINTÉTICO BRILHANTE EM MADEIRA, 2 DEMÃOS. AF_01/2021</t>
  </si>
  <si>
    <t>PINTURA COM TINTA ALQUÍDICA DE ACABAMENTO (ESMALTE SINTÉTICO ACETINADO) APLICADA A ROLO OU PINCEL SOBRE SUPERFÍCIES METÁLICAS (EXCETO PERFIL) EXECUTADO EM OBRA (POR DEMÃO). AF_01/2020</t>
  </si>
  <si>
    <t>LUMINÁRIA DE EMERGÊNCIA, COM 30 LÂMPADAS LED DE 2 W, SEM REATOR - FORNECIMENTO E INSTALAÇÃO. AF_02/2020</t>
  </si>
  <si>
    <t>PLACA DE SINALIZAÇÃO FOTOLUMINESCENTE - Copia da SEDOP (241468)</t>
  </si>
  <si>
    <t xml:space="preserve"> 201507 </t>
  </si>
  <si>
    <t>EXTINTOR DE INCÊNDIO ABC -  6Kg</t>
  </si>
  <si>
    <t xml:space="preserve"> 99804 </t>
  </si>
  <si>
    <t>LIMPEZA DE PISO CERÂMICO OU PORCELANATO UTILIZANDO DETERGENTE NEUTRO E ESCOVAÇÃO MANUAL. AF_04/2019</t>
  </si>
  <si>
    <t>MANUTEÇÃO PREVENTIVA E CORRETIVA DA  CRECHE MUNICIPAL "ODINAMAR OLIVEIRA GOMES"</t>
  </si>
  <si>
    <t>PLACA DE OBRA COM PLOTAGEM GRÁFICA</t>
  </si>
  <si>
    <t>MOBILIZAÇÃO E DESMOBILIZAÇÃO DE PESSOAL E EQUIPAMENTO</t>
  </si>
  <si>
    <t xml:space="preserve"> 2.1.1 </t>
  </si>
  <si>
    <t xml:space="preserve"> 2.1.2 </t>
  </si>
  <si>
    <t xml:space="preserve"> 2.1.3 </t>
  </si>
  <si>
    <t xml:space="preserve"> 2.1.4 </t>
  </si>
  <si>
    <t xml:space="preserve"> 2.2 </t>
  </si>
  <si>
    <t xml:space="preserve"> 2.2.1 </t>
  </si>
  <si>
    <t xml:space="preserve"> 98547 </t>
  </si>
  <si>
    <t>IMPERMEABILIZAÇÃO DE SUPERFÍCIE COM MANTA ASFÁLTICA, DUAS CAMADAS, INCLUSIVE APLICAÇÃO DE PRIMER ASFÁLTICO, E=3MM E E=4MM. AF_09/2023</t>
  </si>
  <si>
    <t xml:space="preserve"> 2.2.2 </t>
  </si>
  <si>
    <t xml:space="preserve"> 3.2 </t>
  </si>
  <si>
    <t xml:space="preserve"> 3.2.1 </t>
  </si>
  <si>
    <t xml:space="preserve"> 3.2.2 </t>
  </si>
  <si>
    <t xml:space="preserve"> 3.2.3 </t>
  </si>
  <si>
    <t xml:space="preserve"> 3.2.4 </t>
  </si>
  <si>
    <t>GRADE DE FERRO (incl. pint. anti-corrosiva)</t>
  </si>
  <si>
    <t xml:space="preserve"> 3.3 </t>
  </si>
  <si>
    <t xml:space="preserve"> 3.3.1 </t>
  </si>
  <si>
    <t xml:space="preserve"> 3.3.2 </t>
  </si>
  <si>
    <t>REVISÃO DE PONTOS DE ILUMINAÇÃO E FORÇA</t>
  </si>
  <si>
    <t xml:space="preserve"> 4.3.2 </t>
  </si>
  <si>
    <t xml:space="preserve"> 4.3.3 </t>
  </si>
  <si>
    <t xml:space="preserve"> 4.3.4 </t>
  </si>
  <si>
    <t>REFLETOR EM ALUMÍNIO, DE SUPORTE E ALÇA, COM 1 LÂMPADA VAPOR DE MERCÚRIO DE 125 W, COM REATOR ALTO FATOR DE POTÊNCIA - FORNECIMENTO E INSTALAÇÃO. AF_02/2020</t>
  </si>
  <si>
    <t xml:space="preserve"> 4.4 </t>
  </si>
  <si>
    <t xml:space="preserve"> 4.4.1 </t>
  </si>
  <si>
    <t xml:space="preserve"> 4.4.2 </t>
  </si>
  <si>
    <t xml:space="preserve"> 4.4.3 </t>
  </si>
  <si>
    <t xml:space="preserve"> 4.4.4 </t>
  </si>
  <si>
    <t xml:space="preserve"> 91969 </t>
  </si>
  <si>
    <t>INTERRUPTOR PARALELO (3 MÓDULOS), 10A/250V, INCLUINDO SUPORTE E PLACA - FORNECIMENTO E INSTALAÇÃO. AF_03/2023</t>
  </si>
  <si>
    <t xml:space="preserve"> 4.4.5 </t>
  </si>
  <si>
    <t xml:space="preserve"> 5.1.1 </t>
  </si>
  <si>
    <t xml:space="preserve"> 5.1.2 </t>
  </si>
  <si>
    <t xml:space="preserve"> 5.2.1 </t>
  </si>
  <si>
    <t xml:space="preserve"> 5.2.2 </t>
  </si>
  <si>
    <t xml:space="preserve"> 5.2.3 </t>
  </si>
  <si>
    <t xml:space="preserve"> 5.2.4 </t>
  </si>
  <si>
    <t xml:space="preserve"> 5.2.5 </t>
  </si>
  <si>
    <t xml:space="preserve"> 5.2.6 </t>
  </si>
  <si>
    <t xml:space="preserve"> 5.2.7 </t>
  </si>
  <si>
    <t xml:space="preserve"> 5.2.8 </t>
  </si>
  <si>
    <t xml:space="preserve"> 5.2.9 </t>
  </si>
  <si>
    <t xml:space="preserve"> 5.2.10 </t>
  </si>
  <si>
    <t xml:space="preserve"> 5.3 </t>
  </si>
  <si>
    <t xml:space="preserve"> 5.3.1 </t>
  </si>
  <si>
    <t xml:space="preserve"> 5.3.2 </t>
  </si>
  <si>
    <t xml:space="preserve"> 5.3.3 </t>
  </si>
  <si>
    <t xml:space="preserve"> 5.3.4 </t>
  </si>
  <si>
    <t xml:space="preserve"> 5.3.5 </t>
  </si>
  <si>
    <t xml:space="preserve"> 110581 </t>
  </si>
  <si>
    <t>CERÂMICA EM FACHADA 10x10cm (padrao medio)</t>
  </si>
  <si>
    <t>PISO INTERNO</t>
  </si>
  <si>
    <t xml:space="preserve"> 7.1.4 </t>
  </si>
  <si>
    <t xml:space="preserve"> 7.1.5 </t>
  </si>
  <si>
    <t>PISO EXTERNO</t>
  </si>
  <si>
    <t xml:space="preserve"> 104790 </t>
  </si>
  <si>
    <t>DEMOLIÇÃO DE PISO DE CONCRETO SIMPLES, DE FORMA MECANIZADA COM MARTELETE, SEM REAPROVEITAMENTO. AF_09/2023</t>
  </si>
  <si>
    <t>ATERRO MANUAL DE VALAS COM SOLO ARGILO-ARENOSO. AF_08/2023</t>
  </si>
  <si>
    <t xml:space="preserve"> 96620 </t>
  </si>
  <si>
    <t>LASTRO DE CONCRETO MAGRO, APLICADO EM PISOS, LAJES SOBRE SOLO OU RADIERS. AF_08/2017</t>
  </si>
  <si>
    <t xml:space="preserve"> 98680 </t>
  </si>
  <si>
    <t>PISO CIMENTADO, TRAÇO 1:3 (CIMENTO E AREIA), ACABAMENTO LISO, ESPESSURA 3,0 CM, PREPARO MECÂNICO DA ARGAMASSA. AF_09/2020</t>
  </si>
  <si>
    <t xml:space="preserve"> 103946 </t>
  </si>
  <si>
    <t>PLANTIO DE GRAMA ESMERALDA OU SÃO CARLOS OU CURITIBANA, EM PLACAS. AF_05/2022</t>
  </si>
  <si>
    <t>PISO ESTACIONAMENTO</t>
  </si>
  <si>
    <t xml:space="preserve"> 104796 </t>
  </si>
  <si>
    <t>DEMOLIÇÃO DE GUIAS, SARJETAS OU SARJETÕES, DE FORMA MECANIZADA, SEM REAPROVEITAMENTO. AF_09/2023</t>
  </si>
  <si>
    <t xml:space="preserve"> 94263 </t>
  </si>
  <si>
    <t>GUIA (MEIO-FIO) CONCRETO, MOLDADA  IN LOCO  EM TRECHO RETO COM EXTRUSORA, 13 CM BASE X 22 CM ALTURA. AF_06/2016</t>
  </si>
  <si>
    <t xml:space="preserve"> 7.3.3 </t>
  </si>
  <si>
    <t xml:space="preserve"> 101747 </t>
  </si>
  <si>
    <t>PISO EM CONCRETO 20 MPA PREPARO MECÂNICO, ESPESSURA 7CM. AF_09/2020</t>
  </si>
  <si>
    <t xml:space="preserve"> 7.3.4 </t>
  </si>
  <si>
    <t xml:space="preserve"> 101865 </t>
  </si>
  <si>
    <t>REASSENTAMENTO DE BLOCOS RETANGULAR PARA PISO INTERTRAVADO, ESPESSURA DE 10 CM, EM VIA/ESTACIONAMENTO, COM REAPROVEITAMENTO DOS BLOCOS RETANGULAR - INCLUSO RETIRADA E COLOCAÇÃO DO MATERIAL. AF_12/2020</t>
  </si>
  <si>
    <t>PAREDES</t>
  </si>
  <si>
    <t xml:space="preserve"> 99814 </t>
  </si>
  <si>
    <t>LIMPEZA DE SUPERFÍCIE COM JATO DE ALTA PRESSÃO. AF_04/2019</t>
  </si>
  <si>
    <t xml:space="preserve"> 8.1.3 </t>
  </si>
  <si>
    <t xml:space="preserve"> 8.1.4 </t>
  </si>
  <si>
    <t>TETO</t>
  </si>
  <si>
    <t xml:space="preserve"> 88494 </t>
  </si>
  <si>
    <t>EMASSAMENTO COM MASSA LÁTEX, APLICAÇÃO EM TETO, UMA DEMÃO, LIXAMENTO MANUAL. AF_04/2023</t>
  </si>
  <si>
    <t xml:space="preserve"> 104639 </t>
  </si>
  <si>
    <t>PINTURA LÁTEX ACRÍLICA ECONÔMICA, APLICAÇÃO MANUAL EM TETO, DUAS DEMÃOS. AF_04/2023</t>
  </si>
  <si>
    <t>MURO</t>
  </si>
  <si>
    <t xml:space="preserve"> 104641 </t>
  </si>
  <si>
    <t>PINTURA LÁTEX ACRÍLICA ECONÔMICA, APLICAÇÃO MANUAL EM PAREDES, DUAS DEMÃOS. AF_04/2023</t>
  </si>
  <si>
    <t xml:space="preserve"> 8.4 </t>
  </si>
  <si>
    <t xml:space="preserve"> 8.4.1 </t>
  </si>
  <si>
    <t xml:space="preserve"> 8.4.2 </t>
  </si>
  <si>
    <t xml:space="preserve"> 8.4.3 </t>
  </si>
  <si>
    <t xml:space="preserve"> 8.4.4 </t>
  </si>
  <si>
    <t xml:space="preserve"> 102203 </t>
  </si>
  <si>
    <t>PINTURA VERNIZ (INCOLOR) ALQUÍDICO EM MADEIRA, USO INTERNO E EXTERNO, 1 DEMÃO. AF_01/2021</t>
  </si>
  <si>
    <t xml:space="preserve"> 8.5 </t>
  </si>
  <si>
    <t>GRADES E PORTÕES</t>
  </si>
  <si>
    <t xml:space="preserve"> 8.5.1 </t>
  </si>
  <si>
    <t>PLACA DE OBRA (PARA CONSTRUCAO CIVIL) EM CHAPA GALVANIZADA *N. 22*, ADESIVADA, DE *2,4 X 1,2* M (SEM POSTES PARA FIXACAO)</t>
  </si>
  <si>
    <t>RIPA NAO APARELHADA, *1,5 X 5* CM, EM MACARANDUBA/MASSARANDUBA, ANGELIM OU EQUIVALENTE DA REGIAO - BRUTA</t>
  </si>
  <si>
    <t xml:space="preserve"> 00042528 </t>
  </si>
  <si>
    <t>MANTA ALUMINIZADA NAS DUAS FACES, PARA SUBCOBERTURA,  E = *2* MM</t>
  </si>
  <si>
    <t xml:space="preserve"> 00042529 </t>
  </si>
  <si>
    <t>FITA ADESIVA ALUMINIZADA, PARA INSTALACAO DE MANTAS DE SUBCOBERTURA,  L = *5* CM</t>
  </si>
  <si>
    <t xml:space="preserve"> 88243 </t>
  </si>
  <si>
    <t>AJUDANTE ESPECIALIZADO COM ENCARGOS COMPLEMENTARES</t>
  </si>
  <si>
    <t xml:space="preserve"> 88270 </t>
  </si>
  <si>
    <t>IMPERMEABILIZADOR COM ENCARGOS COMPLEMENTARES</t>
  </si>
  <si>
    <t xml:space="preserve"> 00004226 </t>
  </si>
  <si>
    <t>GAS DE COZINHA - GLP</t>
  </si>
  <si>
    <t xml:space="preserve"> 00000511 </t>
  </si>
  <si>
    <t>PRIMER PARA MANTA ASFALTICA A BASE DE ASFALTO MODIFICADO DILUIDO EM SOLVENTE, APLICACAO A FRIO</t>
  </si>
  <si>
    <t xml:space="preserve"> 00004015 </t>
  </si>
  <si>
    <t>MANTA ASFALTICA ELASTOMERICA EM POLIESTER 4 MM, TIPO III, CLASSE B, ACABAMENTO PP (NBR 9952)</t>
  </si>
  <si>
    <t xml:space="preserve"> 00004014 </t>
  </si>
  <si>
    <t>MANTA ASFALTICA ELASTOMERICA EM POLIESTER 3 MM, TIPO III, CLASSE B, ACABAMENTO PP (NBR 9952)</t>
  </si>
  <si>
    <t xml:space="preserve"> 00010527 </t>
  </si>
  <si>
    <t>LOCACAO DE ANDAIME METALICO TUBULAR DE ENCAIXE, TIPO DE TORRE, CADA PAINEL COM LARGURA DE 1 ATE 1,5 M E ALTURA DE *1,00* M, INCLUINDO DIAGONAL, BARRAS DE LIGACAO, SAPATAS OU RODIZIOS E DEMAIS ITENS NECESSARIOS A MONTAGEM (NAO INCLUI INSTALACAO)</t>
  </si>
  <si>
    <t>MXMES</t>
  </si>
  <si>
    <t>SERP - SERVIÇOS PRELIMINARES</t>
  </si>
  <si>
    <t>BATENTE PARA PORTA DE MADEIRA, FIXAÇÃO COM ARGAMASSA, PADRÃO MÉDIO - FORNECIMENTO E INSTALAÇÃO. AF_12/2019</t>
  </si>
  <si>
    <t xml:space="preserve"> 91012 </t>
  </si>
  <si>
    <t>PORTA DE MADEIRA PARA VERNIZ, SEMI-OCA (LEVE OU MÉDIA), 90X210CM, ESPESSURA DE 3,5CM, INCLUSO DOBRADIÇAS - FORNECIMENTO E INSTALAÇÃO. AF_12/2019</t>
  </si>
  <si>
    <t xml:space="preserve"> 00011190 </t>
  </si>
  <si>
    <t>JANELA BASCULANTE, ACO, COM BATENTE/REQUADRO, 60 X 60 CM (SEM VIDROS)</t>
  </si>
  <si>
    <t>GUARNICAO / MOLDURA / ARREMATE DE ACABAMENTO PARA ESQUADRIA, EM ALUMINIO PERFIL 25, ACABAMENTO ANODIZADO BRANCO OU BRILHANTE, PARA 1 FACE</t>
  </si>
  <si>
    <t/>
  </si>
  <si>
    <t xml:space="preserve"> 110142 </t>
  </si>
  <si>
    <t>Argamassa de cimento e areia 1:6</t>
  </si>
  <si>
    <t xml:space="preserve"> 280004 </t>
  </si>
  <si>
    <t xml:space="preserve"> 280023 </t>
  </si>
  <si>
    <t xml:space="preserve"> D00089 </t>
  </si>
  <si>
    <t>Grade de ferro 1/2"  (incl. pint. anti-corrosiva)</t>
  </si>
  <si>
    <t xml:space="preserve"> 00003081 </t>
  </si>
  <si>
    <t>FECHADURA ESPELHO PARA PORTA EXTERNA, EM ACO INOX (MAQUINA, TESTA E CONTRA-TESTA) E EM ZAMAC (MACANETA, LINGUETA E TRINCOS) COM ACABAMENTO CROMADO, MAQUINA DE 55 MM, INCLUINDO CHAVE TIPO CILINDRO</t>
  </si>
  <si>
    <t xml:space="preserve"> 00003093 </t>
  </si>
  <si>
    <t>FECHADURA ROSETA REDONDA PARA PORTA INTERNA, EM ACO INOX (MAQUINA, TESTA E CONTRA-TESTA) E EM ZAMAC (MACANETA, LINGUETA E TRINCOS) COM ACABAMENTO CROMADO, MAQUINA DE 55 MM, INCLUINDO CHAVE TIPO INTERNA</t>
  </si>
  <si>
    <t xml:space="preserve"> 00034653 </t>
  </si>
  <si>
    <t>DISJUNTOR TERMOMAGNETICO PARA TRILHO DIN (IEC), MONOPOLAR, 6 - 32 A</t>
  </si>
  <si>
    <t xml:space="preserve"> 00001570 </t>
  </si>
  <si>
    <t>TERMINAL A COMPRESSAO EM COBRE ESTANHADO PARA CABO 2,5 MM2, 1 FURO E 1 COMPRESSAO, PARA PARAFUSO DE FIXACAO M5</t>
  </si>
  <si>
    <t xml:space="preserve"> 00000068 </t>
  </si>
  <si>
    <t>Interruptor diferencial residual 4P-40A-300mA.</t>
  </si>
  <si>
    <t xml:space="preserve"> 280007 </t>
  </si>
  <si>
    <t xml:space="preserve"> 280014 </t>
  </si>
  <si>
    <t xml:space="preserve"> E00012 </t>
  </si>
  <si>
    <t>Eletroduto PVC Rígido de 1/2"</t>
  </si>
  <si>
    <t xml:space="preserve"> E00019 </t>
  </si>
  <si>
    <t>Caixa de derivação 4"x2"- Plástica</t>
  </si>
  <si>
    <t xml:space="preserve"> E00008 </t>
  </si>
  <si>
    <t>Cabo de cobre 2,5mm2  -750V</t>
  </si>
  <si>
    <t xml:space="preserve"> E00033 </t>
  </si>
  <si>
    <t>Bucha de 1/2"</t>
  </si>
  <si>
    <t xml:space="preserve"> E00020 </t>
  </si>
  <si>
    <t>Fita isolante</t>
  </si>
  <si>
    <t xml:space="preserve"> E00034 </t>
  </si>
  <si>
    <t>Arruela de 1/2"</t>
  </si>
  <si>
    <t>HASTE DE ATERRAMENTO EM ACO COM 3,00 M DE COMPRIMENTO E DN = 5/8", REVESTIDA COM BAIXA CAMADA DE COBRE, SEM CONECTOR</t>
  </si>
  <si>
    <t>FIXAÇÃO DE TUBOS HORIZONTAIS DE PVC ÁGUA, PVC ESGOTO, PVC ÁGUA PLUVIAL, CPVC, PPR, COBRE OU AÇO, DIÂMETROS MENORES OU IGUAIS A 40 MM, COM ABRAÇADEIRA METÁLICA RÍGIDA TIPO U PERFIL 1 1/4, FIXADA EM PERFILADO EM LAJE. AF_09/2023_PS</t>
  </si>
  <si>
    <t xml:space="preserve"> 00002678 </t>
  </si>
  <si>
    <t>ELETRODUTO DE PVC RIGIDO SOLDAVEL, CLASSE B, DE 25 MM</t>
  </si>
  <si>
    <t>CAIXA DE INSPECAO PARA ATERRAMENTO E PARA RAIOS, EM POLIPROPILENO,  DIAMETRO = 300 MM X ALTURA = 400 MM</t>
  </si>
  <si>
    <t>SUPORTE ISOLADOR PARA FIXAÇÃO DA CORDOALHA DE COBRE EM ALVENARIA OU CONCRETO - FORNECIMENTO E INSTALAÇÃO. AF_08/2023</t>
  </si>
  <si>
    <t xml:space="preserve"> 00000857 </t>
  </si>
  <si>
    <t>CABO DE COBRE NU 16 MM2 MEIO-DURO</t>
  </si>
  <si>
    <t xml:space="preserve"> 00001585 </t>
  </si>
  <si>
    <t>TERMINAL METALICO A PRESSAO PARA 1 CABO DE 16 MM2, COM 1 FURO DE FIXACAO</t>
  </si>
  <si>
    <t xml:space="preserve"> 00039385 </t>
  </si>
  <si>
    <t>LUMINARIA LED PLAFON REDONDO DE SOBREPOR BIVOLT 12/13 W,  D = *17* CM</t>
  </si>
  <si>
    <t xml:space="preserve"> 00038775 </t>
  </si>
  <si>
    <t>LUMINARIA TIPO TARTARUGA PARA AREA EXTERNA EM ALUMINIO, COM GRADE, PARA 1 LAMPADA, BASE E27, POTENCIA MAXIMA 40/60 W (NAO INCLUI LAMPADA)</t>
  </si>
  <si>
    <t xml:space="preserve"> 00038193 </t>
  </si>
  <si>
    <t>LAMPADA LED 6 W BIVOLT BRANCA, FORMATO TRADICIONAL (BASE E27)</t>
  </si>
  <si>
    <t xml:space="preserve"> 91954 </t>
  </si>
  <si>
    <t>INTERRUPTOR PARALELO (1 MÓDULO), 10A/250V, SEM SUPORTE E SEM PLACA - FORNECIMENTO E INSTALAÇÃO. AF_03/2023</t>
  </si>
  <si>
    <t>SUPORTE PARAFUSADO COM PLACA DE ENCAIXE 4" X 2" MÉDIO (1,30 M DO PISO) PARA PONTO ELÉTRICO - FORNECIMENTO E INSTALAÇÃO. AF_03/2023</t>
  </si>
  <si>
    <t xml:space="preserve"> 91960 </t>
  </si>
  <si>
    <t>INTERRUPTOR PARALELO (2 MÓDULOS), 10A/250V, SEM SUPORTE E SEM PLACA - FORNECIMENTO E INSTALAÇÃO. AF_03/2023</t>
  </si>
  <si>
    <t xml:space="preserve"> 91968 </t>
  </si>
  <si>
    <t>INTERRUPTOR PARALELO (3 MÓDULOS), 10A/250V, SEM SUPORTE E SEM PLACA - FORNECIMENTO E INSTALAÇÃO. AF_03/2023</t>
  </si>
  <si>
    <t xml:space="preserve"> 91990 </t>
  </si>
  <si>
    <t>TOMADA ALTA DE EMBUTIR (1 MÓDULO), 2P+T 10 A, SEM SUPORTE E SEM PLACA - FORNECIMENTO E INSTALAÇÃO. AF_03/2023</t>
  </si>
  <si>
    <t xml:space="preserve"> 180299 </t>
  </si>
  <si>
    <t>Ponto de agua (incl. tubos e conexoes)</t>
  </si>
  <si>
    <t xml:space="preserve"> 180214 </t>
  </si>
  <si>
    <t>Ponto de esgoto (incl. tubos, conexoes,cx. e ralos)</t>
  </si>
  <si>
    <t xml:space="preserve"> 00004384 </t>
  </si>
  <si>
    <t>PARAFUSO NIQUELADO COM ACABAMENTO CROMADO PARA FIXAR PECA SANITARIA, INCLUI PORCA CEGA, ARRUELA E BUCHA DE NYLON TAMANHO S-10</t>
  </si>
  <si>
    <t xml:space="preserve"> 00010422 </t>
  </si>
  <si>
    <t>BACIA SANITARIA (VASO) COM CAIXA ACOPLADA, SIFAO APARENTE, DE LOUCA BRANCA (SEM ASSENTO)</t>
  </si>
  <si>
    <t>REJUNTE EPOXI, QUALQUER COR</t>
  </si>
  <si>
    <t xml:space="preserve"> 00006138 </t>
  </si>
  <si>
    <t>ANEL DE VEDACAO, PVC FLEXIVEL, 100 MM, PARA SAIDA DE BACIA / VASO SANITARIO</t>
  </si>
  <si>
    <t xml:space="preserve"> 86887 </t>
  </si>
  <si>
    <t>ENGATE FLEXÍVEL EM INOX, 1/2  X 40CM - FORNECIMENTO E INSTALAÇÃO. AF_01/2020</t>
  </si>
  <si>
    <t xml:space="preserve"> 86903 </t>
  </si>
  <si>
    <t>LAVATÓRIO LOUÇA BRANCA COM COLUNA, 45 X 55CM OU EQUIVALENTE, PADRÃO MÉDIO - FORNECIMENTO E INSTALAÇÃO. AF_01/2020</t>
  </si>
  <si>
    <t>TORNEIRA METALICA CROMADA DE MESA PARA LAVATORIO, BICA ALTA, COM AREJADOR (REF 1195)</t>
  </si>
  <si>
    <t xml:space="preserve"> 00011773 </t>
  </si>
  <si>
    <t>TORNEIRA METALICA CROMADA DE PAREDE, PARA COZINHA, BICA MOVEL, COM AREJADOR, 1/2 " OU 3/4 " (REF 1167 / 1168)</t>
  </si>
  <si>
    <t xml:space="preserve"> 00013417 </t>
  </si>
  <si>
    <t>TORNEIRA METALICA CROMADA CANO CURTO, SEM BICO, SEM AREJADOR, DE PAREDE, PARA TANQUE E USO GERAL, 1/2 " OU 3/4 " (REF 1143)</t>
  </si>
  <si>
    <t xml:space="preserve"> 00036206 </t>
  </si>
  <si>
    <t>BARRA DE APOIO RETA, EM ACO INOX POLIDO, COMPRIMENTO 90 CM, DIAMETRO MINIMO 3 CM</t>
  </si>
  <si>
    <t xml:space="preserve"> 00044945 </t>
  </si>
  <si>
    <t>SIFAO / TUBO SINFONADO EXTENSIVEL/SANFONADO, UNIVERSAL/ SIMPLES, ENTRE *50 A 70* CM, DE PLASTICO BRANCO</t>
  </si>
  <si>
    <t>ADESIVO PLASTICO PARA PVC, FRASCO COM *850* GR</t>
  </si>
  <si>
    <t>CAIXA SIFONADA PVC, 100 X 100 X 50 MM, COM GRELHA REDONDA, BRANCA</t>
  </si>
  <si>
    <t>SOLUCAO PREPARADORA / LIMPADORA PARA PVC, FRASCO COM 1000 CM3</t>
  </si>
  <si>
    <t xml:space="preserve"> 00011781 </t>
  </si>
  <si>
    <t>VALVULA DE DESCARGA METALICA, BASE 1 1/4 " E ACABAMENTO METALICO CROMADO</t>
  </si>
  <si>
    <t xml:space="preserve"> 101616 </t>
  </si>
  <si>
    <t>PREPARO DE FUNDO DE VALA COM LARGURA MENOR QUE 1,5 M (ACERTO DO SOLO NATURAL). AF_08/2020</t>
  </si>
  <si>
    <t>CONCRETO FCK = 20MPA, TRAÇO 1:2,7:3 (EM MASSA SECA DE CIMENTO/ AREIA MÉDIA/ BRITA 1) - PREPARO MECÂNICO COM BETONEIRA 600 L. AF_05/2021</t>
  </si>
  <si>
    <t>SARRAFO *2,5 X 7,5* CM EM PINUS, MISTA OU EQUIVALENTE DA REGIAO - BRUTA</t>
  </si>
  <si>
    <t>TIJOLO CERAMICO MACICO COMUM *5 X 10 X 20* CM (L X A X C)</t>
  </si>
  <si>
    <t>PONTALETE *7,5 X 7,5* CM EM PINUS, MISTA OU EQUIVALENTE DA REGIAO - BRUTA</t>
  </si>
  <si>
    <t>TABUA NAO APARELHADA *2,5 X 20* CM, EM MACARANDUBA/MASSARANDUBA, ANGELIM OU EQUIVALENTE DA REGIAO - BRUTA</t>
  </si>
  <si>
    <t xml:space="preserve"> 00011881 </t>
  </si>
  <si>
    <t>CAIXA DE GORDURA CILINDRICA EM CONCRETO SIMPLES,  PRE-MOLDADA, COM DIAMETRO DE 40 CM E ALTURA DE 45 CM, COM TAMPA</t>
  </si>
  <si>
    <t xml:space="preserve"> 00011267 </t>
  </si>
  <si>
    <t>ARRUELA LISA, REDONDA, DE LATAO POLIDO, DIAMETRO NOMINAL 5/8", DIAMETRO EXTERNO = 34 MM, DIAMETRO DO FURO = 17 MM, ESPESSURA = *2,5* MM</t>
  </si>
  <si>
    <t xml:space="preserve"> 00039997 </t>
  </si>
  <si>
    <t>PORCA ZINCADA, SEXTAVADA, DIAMETRO 1/4"</t>
  </si>
  <si>
    <t xml:space="preserve"> 00000732 </t>
  </si>
  <si>
    <t>BOMBA CENTRIFUGA MOTOR ELETRICO TRIFASICO 0,99HP  DIAMETRO DE SUCCAO X ELEVACAO 1" X 1", DIAMETRO DO ROTOR 145 MM, HM/Q: 14 M / 8,4 M3/H A 40 M / 0,60 M3/H</t>
  </si>
  <si>
    <t xml:space="preserve"> 00039996 </t>
  </si>
  <si>
    <t>VERGALHAO ZINCADO ROSCA TOTAL, 1/4 " (6,3 MM)</t>
  </si>
  <si>
    <t xml:space="preserve"> 00011830 </t>
  </si>
  <si>
    <t>TORNEIRA DE BOIA CONVENCIONAL PARA CAIXA D'AGUA, AGUA FRIA, 3/4", COM HASTE E TORNEIRA METALICOS E BALAO PLASTICO</t>
  </si>
  <si>
    <t xml:space="preserve"> 280008 </t>
  </si>
  <si>
    <t>AUXILIAR DE ENCANADOR OU BOMBEIRO HIDRÁULICO COM ENCARGOS
COMPLEMENTARES</t>
  </si>
  <si>
    <t xml:space="preserve"> 280016 </t>
  </si>
  <si>
    <t>ENCANADOR OU BOMBEIRO HIDRÁULICO COM ENCARGOS
COMPLEMENTARES</t>
  </si>
  <si>
    <t xml:space="preserve"> H00055 </t>
  </si>
  <si>
    <t>Fita de vedacao</t>
  </si>
  <si>
    <t xml:space="preserve"> D00224 </t>
  </si>
  <si>
    <t>Viga de peroba 6x16cm</t>
  </si>
  <si>
    <t xml:space="preserve"> H00185 </t>
  </si>
  <si>
    <t>Flange de aco galvanizado - 25mm</t>
  </si>
  <si>
    <t xml:space="preserve"> H00184 </t>
  </si>
  <si>
    <t>Flange de aco galvanizado - 20mm</t>
  </si>
  <si>
    <t xml:space="preserve"> H00182 </t>
  </si>
  <si>
    <t>Reservatório em polietileno de 500 L</t>
  </si>
  <si>
    <t xml:space="preserve"> H00186 </t>
  </si>
  <si>
    <t>Flange de aco galvanizado - 50mm</t>
  </si>
  <si>
    <t xml:space="preserve"> 87313 </t>
  </si>
  <si>
    <t>ARGAMASSA TRAÇO 1:3 (EM VOLUME DE CIMENTO E AREIA GROSSA ÚMIDA) PARA CHAPISCO CONVENCIONAL, PREPARO MECÂNICO COM BETONEIRA 400 L. AF_08/2019</t>
  </si>
  <si>
    <t xml:space="preserve"> 87369 </t>
  </si>
  <si>
    <t>ARGAMASSA TRAÇO 1:2:8 (EM VOLUME DE CIMENTO, CAL E AREIA MÉDIA ÚMIDA) PARA EMBOÇO/MASSA ÚNICA/ASSENTAMENTO DE ALVENARIA DE VEDAÇÃO, PREPARO MANUAL. AF_08/2019</t>
  </si>
  <si>
    <t>REJUNTE CIMENTICIO, QUALQUER COR</t>
  </si>
  <si>
    <t xml:space="preserve"> 280026 </t>
  </si>
  <si>
    <t xml:space="preserve"> D00079 </t>
  </si>
  <si>
    <t>Rejunte cimentício colorido p/ porcelanato e  cerâmicas</t>
  </si>
  <si>
    <t xml:space="preserve"> A00052 </t>
  </si>
  <si>
    <t>Cerâmica 10x10cm (preço médio)</t>
  </si>
  <si>
    <t xml:space="preserve"> D00080 </t>
  </si>
  <si>
    <t>Argamassa AC-II</t>
  </si>
  <si>
    <t xml:space="preserve"> 00038546 </t>
  </si>
  <si>
    <t>ARGAMASSA USINADA AUTOADENSAVEL E AUTONIVELANTE PARA CONTRAPISO, COM BOMBEAMENTO (DISPONIBILIZACAO DE BOMBA), SEM O LANCAMENTO</t>
  </si>
  <si>
    <t xml:space="preserve"> 90964 </t>
  </si>
  <si>
    <t>COMPRESSOR DE AR REBOCÁVEL, VAZÃO 89 PCM, PRESSÃO EFETIVA DE TRABALHO 102 PSI, MOTOR DIESEL, POTÊNCIA 20 CV - CHP DIURNO. AF_06/2015</t>
  </si>
  <si>
    <t xml:space="preserve"> 5952 </t>
  </si>
  <si>
    <t>MARTELETE OU ROMPEDOR PNEUMÁTICO MANUAL, 28 KG, COM SILENCIADOR - CHI DIURNO. AF_07/2016</t>
  </si>
  <si>
    <t xml:space="preserve"> 90965 </t>
  </si>
  <si>
    <t>COMPRESSOR DE AR REBOCÁVEL, VAZÃO 89 PCM, PRESSÃO EFETIVA DE TRABALHO 102 PSI, MOTOR DIESEL, POTÊNCIA 20 CV - CHI DIURNO. AF_06/2015</t>
  </si>
  <si>
    <t xml:space="preserve"> 5795 </t>
  </si>
  <si>
    <t>MARTELETE OU ROMPEDOR PNEUMÁTICO MANUAL, 28 KG, COM SILENCIADOR - CHP DIURNO. AF_07/2016</t>
  </si>
  <si>
    <t>CONCRETO MAGRO PARA LASTRO, TRAÇO 1:4,5:4,5 (EM MASSA SECA DE CIMENTO/ AREIA MÉDIA/ BRITA 1) - PREPARO MECÂNICO COM BETONEIRA 600 L. AF_05/2021</t>
  </si>
  <si>
    <t>URBA - URBANIZAÇÃO</t>
  </si>
  <si>
    <t xml:space="preserve"> 88441 </t>
  </si>
  <si>
    <t>JARDINEIRO COM ENCARGOS COMPLEMENTARES</t>
  </si>
  <si>
    <t xml:space="preserve"> 00003322 </t>
  </si>
  <si>
    <t>GRAMA ESMERALDA OU SAO CARLOS OU CURITIBANA, EM PLACAS, SEM PLANTIO</t>
  </si>
  <si>
    <t xml:space="preserve"> 92960 </t>
  </si>
  <si>
    <t>MÁQUINA EXTRUSORA DE CONCRETO PARA GUIAS E SARJETAS, MOTOR A DIESEL, POTÊNCIA 14 CV - CHP DIURNO. AF_12/2015</t>
  </si>
  <si>
    <t xml:space="preserve"> 92961 </t>
  </si>
  <si>
    <t>MÁQUINA EXTRUSORA DE CONCRETO PARA GUIAS E SARJETAS, MOTOR A DIESEL, POTÊNCIA 14 CV - CHI DIURNO. AF_12/2015</t>
  </si>
  <si>
    <t xml:space="preserve"> 00034492 </t>
  </si>
  <si>
    <t>CONCRETO USINADO BOMBEAVEL, CLASSE DE RESISTENCIA C20, COM BRITA 0 E 1, SLUMP = 100 +/- 20 MM, EXCLUI SERVICO DE BOMBEAMENTO (NBR 8953)</t>
  </si>
  <si>
    <t xml:space="preserve"> 95282 </t>
  </si>
  <si>
    <t>DESEMPENADEIRA DE CONCRETO, PESO DE 78 KG, 4 PÁS, MOTOR A GASOLINA, POTÊNCIA 5,5 HP - CHP DIURNO. AF_05/2023</t>
  </si>
  <si>
    <t xml:space="preserve"> 00043146 </t>
  </si>
  <si>
    <t>ENDURECEDOR MINERAL DE BASE CIMENTICIA PARA PISO DE CONCRETO</t>
  </si>
  <si>
    <t xml:space="preserve"> 88260 </t>
  </si>
  <si>
    <t>CALCETEIRO COM ENCARGOS COMPLEMENTARES</t>
  </si>
  <si>
    <t xml:space="preserve"> 91277 </t>
  </si>
  <si>
    <t>PLACA VIBRATÓRIA REVERSÍVEL COM MOTOR 4 TEMPOS A GASOLINA, FORÇA CENTRÍFUGA DE 25 KN (2500 KGF), POTÊNCIA 5,5 CV - CHP DIURNO. AF_08/2015</t>
  </si>
  <si>
    <t xml:space="preserve"> 91278 </t>
  </si>
  <si>
    <t>PLACA VIBRATÓRIA REVERSÍVEL COM MOTOR 4 TEMPOS A GASOLINA, FORÇA CENTRÍFUGA DE 25 KN (2500 KGF), POTÊNCIA 5,5 CV - CHI DIURNO. AF_08/2015</t>
  </si>
  <si>
    <t xml:space="preserve"> 97635 </t>
  </si>
  <si>
    <t>REMOÇÃO DE PISO DE BLOCO INTERTRAVADO OU DE PEDRA PORTUGUESA, DE FORMA MANUAL, COM REAPROVEITAMENTO. AF_09/2023</t>
  </si>
  <si>
    <t xml:space="preserve"> 00004741 </t>
  </si>
  <si>
    <t>PO DE PEDRA (POSTO PEDREIRA/FORNECEDOR, SEM FRETE)</t>
  </si>
  <si>
    <t xml:space="preserve"> 99833 </t>
  </si>
  <si>
    <t>LAVADORA DE ALTA PRESSAO (LAVA-JATO) PARA AGUA FRIA, PRESSAO DE OPERACAO ENTRE 1400 E 1900 LIB/POL2, VAZAO MAXIMA ENTRE 400 E 700 L/H - CHP DIURNO. AF_05/2023</t>
  </si>
  <si>
    <t xml:space="preserve"> 00006085 </t>
  </si>
  <si>
    <t>SELADOR ACRILICO OPACO PREMIUM INTERIOR/EXTERIOR</t>
  </si>
  <si>
    <t>LIXA EM FOLHA PARA PAREDE OU MADEIRA, NUMERO 120, COR VERMELHA</t>
  </si>
  <si>
    <t>TINTA LATEX ACRILICA PREMIUM, COR BRANCO FOSCO</t>
  </si>
  <si>
    <t xml:space="preserve"> 00043626 </t>
  </si>
  <si>
    <t>MASSA CORRIDA PARA SUPERFICIES DE AMBIENTES INTERNOS</t>
  </si>
  <si>
    <t xml:space="preserve"> 00035693 </t>
  </si>
  <si>
    <t>TINTA LATEX ACRILICA ECONOMICA, COR BRANCA</t>
  </si>
  <si>
    <t xml:space="preserve"> 00043653 </t>
  </si>
  <si>
    <t>DILUENTE AGUARRAS</t>
  </si>
  <si>
    <t xml:space="preserve"> 00043652 </t>
  </si>
  <si>
    <t>MASSA PARA MADEIRA - INTERIOR E EXTERIOR</t>
  </si>
  <si>
    <t xml:space="preserve"> 00007292 </t>
  </si>
  <si>
    <t>TINTA ESMALTE SINTETICO PREMIUM BRILHANTE</t>
  </si>
  <si>
    <t xml:space="preserve"> 00010481 </t>
  </si>
  <si>
    <t>VERNIZ MARITIMO PREMIUM PARA MADEIRA, COM FILTRO SOLAR, BRILHANTE, USO INTERNO E EXTERNO</t>
  </si>
  <si>
    <t>PLACA DE SINALIZACAO DE SEGURANCA CONTRA INCENDIO, FOTOLUMINESCENTE, QUADRADA, *20 X 20* CM, EM PVC *2* MM ANTI-CHAMAS (SIMBOLOS, CORES E PICTOGRAMAS CONFORME NBR 16820)</t>
  </si>
  <si>
    <t xml:space="preserve"> D00275 </t>
  </si>
  <si>
    <t>Bucha / parafuso (médio)</t>
  </si>
  <si>
    <t xml:space="preserve"> D00419 </t>
  </si>
  <si>
    <t>Extintor de incêndio ABC - 6Kg</t>
  </si>
  <si>
    <t xml:space="preserve"> 00044329 </t>
  </si>
  <si>
    <t>DETERGENTE NEUTRO USO GERAL, CONCENTRADO</t>
  </si>
  <si>
    <t>Local</t>
  </si>
  <si>
    <t>Fórmula</t>
  </si>
  <si>
    <t>Placa indicativa de Obra: 2,00x 1,50 metros</t>
  </si>
  <si>
    <t>1,5*2</t>
  </si>
  <si>
    <t>Remoção de portas</t>
  </si>
  <si>
    <t>3*,8*2,1+,9*2,1</t>
  </si>
  <si>
    <t>QDG</t>
  </si>
  <si>
    <t>Disjuntores de Distribuição</t>
  </si>
  <si>
    <t>Proteção fases e  neutro.</t>
  </si>
  <si>
    <t>Aterramento do QDG</t>
  </si>
  <si>
    <t>Descida QDG barra de aterramento</t>
  </si>
  <si>
    <t>Caixa barra de aterramento</t>
  </si>
  <si>
    <t>Ligação QDG barra de aterramento, recomposição da malha aérea</t>
  </si>
  <si>
    <t>Conector barra de aterramento</t>
  </si>
  <si>
    <t>Revisão do material aplicado, recompondo ao estado original (engates, buchas, e terminais de alimentação de água).</t>
  </si>
  <si>
    <t>Revisão do material aplicado, recompondo ao estado original (sifão, buchas, e terminais de alimentação de esgoto).</t>
  </si>
  <si>
    <t>Quantidade Estimada para recuperação de paredes</t>
  </si>
  <si>
    <t>10  *  10</t>
  </si>
  <si>
    <t>10*10</t>
  </si>
  <si>
    <t>80*1</t>
  </si>
  <si>
    <t>Quantidade Estimada para recuperação de piso</t>
  </si>
  <si>
    <t>15*10</t>
  </si>
  <si>
    <t>Demolição de piso dos solarios</t>
  </si>
  <si>
    <t>20,97</t>
  </si>
  <si>
    <t>Cimentado do anfiteatro</t>
  </si>
  <si>
    <t>3,148</t>
  </si>
  <si>
    <t>31,48</t>
  </si>
  <si>
    <t>209,73</t>
  </si>
  <si>
    <t>Limpeza de paredes, internas, externas, inclusive muro  e teto.</t>
  </si>
  <si>
    <t>2692,94</t>
  </si>
  <si>
    <t>Área de Reboco de Paredes internas (716,08 m²)  e externas (606,18 m²)</t>
  </si>
  <si>
    <t>638,78+77,3+606,18</t>
  </si>
  <si>
    <t>Área de Reboco de Paredes Internas (638,78 m²)</t>
  </si>
  <si>
    <t>638,78</t>
  </si>
  <si>
    <t>Pintura Portas em Madeira: 4 unid</t>
  </si>
  <si>
    <t>257,6</t>
  </si>
  <si>
    <t>Pintura de Grades e Guarda-corpo</t>
  </si>
  <si>
    <t>170,50</t>
  </si>
  <si>
    <t>PLANTIO DE GRAMA NOS SOLARIOS</t>
  </si>
  <si>
    <t>M. P. E C. CRECHE MUN. "ODINAMAR OLIVEIRA GOMES"</t>
  </si>
  <si>
    <t xml:space="preserve">SINAPI - 03/2025 - Pará
SEDOP - 02/2025 - Pará
</t>
  </si>
  <si>
    <t>ANANINDEUA(PA), 17 DE ABRIL DE 2025</t>
  </si>
  <si>
    <t>Reajuste Variação de Base</t>
  </si>
  <si>
    <t>10/2023 para 03/2025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</si>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</sst>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16]#,##0.00_);[Red]\(#,##0.00\)"/>
    <numFmt numFmtId="165" formatCode="#,##0.00\ %"/>
    <numFmt numFmtId="166" formatCode="#,##0.000"/>
    <numFmt numFmtId="167" formatCode="#,##0.0000000"/>
    <numFmt numFmtId="168" formatCode="_-* #,##0.00_-;\-* #,##0.00_-;_-* \-??_-;_-@_-"/>
    <numFmt numFmtId="169" formatCode="#,##0.00&quot; &quot;;&quot; (&quot;#,##0.00&quot;)&quot;;&quot; -&quot;#&quot; &quot;;@&quot; &quot;"/>
  </numFmts>
  <fonts count="44">
    <font>
      <sz val="11"/>
      <name val="Arial"/>
      <family val="1"/>
      <charset val="1"/>
    </font>
    <font>
      <sz val="11"/>
      <name val="Calibri"/>
      <family val="2"/>
      <charset val="1"/>
    </font>
    <font>
      <b/>
      <sz val="12"/>
      <name val="Calibri"/>
      <family val="2"/>
      <charset val="1"/>
    </font>
    <font>
      <sz val="12"/>
      <name val="Calibri"/>
      <family val="2"/>
      <charset val="1"/>
    </font>
    <font>
      <sz val="16"/>
      <name val="Calibri"/>
      <family val="2"/>
      <charset val="1"/>
    </font>
    <font>
      <b/>
      <sz val="11"/>
      <name val="Calibri"/>
      <family val="2"/>
      <charset val="1"/>
    </font>
    <font>
      <b/>
      <sz val="14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4"/>
      <name val="Calibri"/>
      <family val="2"/>
      <charset val="1"/>
    </font>
    <font>
      <sz val="11"/>
      <name val="Arial"/>
      <family val="1"/>
      <charset val="1"/>
    </font>
    <font>
      <sz val="12"/>
      <name val="Arial"/>
      <family val="1"/>
      <charset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1"/>
    </font>
    <font>
      <sz val="8"/>
      <name val="Arial"/>
      <family val="1"/>
      <charset val="1"/>
    </font>
    <font>
      <sz val="14"/>
      <name val="Arial"/>
      <family val="1"/>
      <charset val="1"/>
    </font>
    <font>
      <b/>
      <sz val="16"/>
      <name val="Calibri"/>
      <family val="2"/>
      <charset val="1"/>
    </font>
    <font>
      <sz val="10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rgb="FF000000"/>
      <name val="Arial"/>
      <family val="2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sz val="16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charset val="1"/>
    </font>
    <font>
      <b/>
      <sz val="16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4F9FB"/>
      </patternFill>
    </fill>
    <fill>
      <patternFill patternType="solid">
        <fgColor rgb="FFF4F9FB"/>
        <bgColor rgb="FFFFFFFF"/>
      </patternFill>
    </fill>
    <fill>
      <patternFill patternType="solid">
        <fgColor rgb="FFE2F0D9"/>
        <bgColor rgb="FFEFEFEF"/>
      </patternFill>
    </fill>
    <fill>
      <patternFill patternType="solid">
        <fgColor rgb="FFFFFFFF"/>
      </patternFill>
    </fill>
    <fill>
      <patternFill patternType="solid">
        <fgColor rgb="FFEFEFEF"/>
      </patternFill>
    </fill>
    <fill>
      <patternFill patternType="solid">
        <fgColor rgb="FFD6D6D6"/>
      </patternFill>
    </fill>
    <fill>
      <patternFill patternType="solid">
        <fgColor theme="9" tint="0.79998168889431442"/>
        <bgColor rgb="FFEFEFE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D6D6D6"/>
      </patternFill>
    </fill>
    <fill>
      <patternFill patternType="solid">
        <fgColor rgb="FFFAFAFA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rgb="FFEFEFE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4F9FB"/>
      </patternFill>
    </fill>
  </fills>
  <borders count="79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CCCCCC"/>
      </left>
      <right style="thin">
        <color auto="1"/>
      </right>
      <top/>
      <bottom style="thin">
        <color rgb="FFCCCCCC"/>
      </bottom>
      <diagonal/>
    </border>
    <border>
      <left style="thin">
        <color rgb="FFCCCCCC"/>
      </left>
      <right style="thin">
        <color auto="1"/>
      </right>
      <top style="thin">
        <color rgb="FFCCCCCC"/>
      </top>
      <bottom style="thin">
        <color rgb="FFCCCCCC"/>
      </bottom>
      <diagonal/>
    </border>
    <border>
      <left style="thin">
        <color auto="1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auto="1"/>
      </right>
      <top style="thin">
        <color rgb="FFCCCCCC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rgb="FFCCCCCC"/>
      </right>
      <top/>
      <bottom style="thin">
        <color rgb="FFCCCCCC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auto="1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CCCCCC"/>
      </right>
      <top/>
      <bottom style="thick">
        <color rgb="FF00B050"/>
      </bottom>
      <diagonal/>
    </border>
    <border>
      <left/>
      <right style="thin">
        <color rgb="FFCCCCCC"/>
      </right>
      <top/>
      <bottom style="thick">
        <color rgb="FF00B050"/>
      </bottom>
      <diagonal/>
    </border>
    <border>
      <left style="thin">
        <color rgb="FFCCCCCC"/>
      </left>
      <right style="thin">
        <color rgb="FFCCCCCC"/>
      </right>
      <top/>
      <bottom style="thick">
        <color rgb="FF00B050"/>
      </bottom>
      <diagonal/>
    </border>
    <border>
      <left style="thin">
        <color rgb="FFCCCCCC"/>
      </left>
      <right/>
      <top/>
      <bottom style="thick">
        <color rgb="FF00B050"/>
      </bottom>
      <diagonal/>
    </border>
    <border>
      <left style="thin">
        <color rgb="FFCCCCCC"/>
      </left>
      <right style="thin">
        <color rgb="FFCCCCCC"/>
      </right>
      <top style="thick">
        <color rgb="FF00B050"/>
      </top>
      <bottom/>
      <diagonal/>
    </border>
    <border>
      <left/>
      <right style="thin">
        <color auto="1"/>
      </right>
      <top/>
      <bottom style="thick">
        <color rgb="FF00B050"/>
      </bottom>
      <diagonal/>
    </border>
    <border>
      <left/>
      <right/>
      <top/>
      <bottom style="thick">
        <color rgb="FF00B0F0"/>
      </bottom>
      <diagonal/>
    </border>
    <border>
      <left style="thin">
        <color rgb="FFCCCCCC"/>
      </left>
      <right/>
      <top style="thick">
        <color rgb="FF00B0F0"/>
      </top>
      <bottom style="thin">
        <color rgb="FFCCCCCC"/>
      </bottom>
      <diagonal/>
    </border>
    <border>
      <left/>
      <right/>
      <top style="thick">
        <color rgb="FF00B0F0"/>
      </top>
      <bottom style="thin">
        <color rgb="FFCCCCCC"/>
      </bottom>
      <diagonal/>
    </border>
    <border>
      <left/>
      <right style="thin">
        <color rgb="FFCCCCCC"/>
      </right>
      <top style="thick">
        <color rgb="FF00B0F0"/>
      </top>
      <bottom style="thin">
        <color rgb="FFCCCCCC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168" fontId="10" fillId="0" borderId="0" applyBorder="0" applyProtection="0"/>
    <xf numFmtId="9" fontId="10" fillId="0" borderId="0" applyBorder="0" applyProtection="0"/>
    <xf numFmtId="164" fontId="10" fillId="0" borderId="0" applyBorder="0" applyProtection="0"/>
    <xf numFmtId="0" fontId="19" fillId="0" borderId="0"/>
    <xf numFmtId="169" fontId="24" fillId="0" borderId="0" applyBorder="0" applyProtection="0"/>
    <xf numFmtId="0" fontId="25" fillId="0" borderId="0" applyNumberFormat="0" applyBorder="0" applyProtection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28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 wrapText="1"/>
    </xf>
    <xf numFmtId="0" fontId="3" fillId="0" borderId="0" xfId="0" applyFont="1"/>
    <xf numFmtId="0" fontId="2" fillId="2" borderId="0" xfId="0" applyFont="1" applyFill="1" applyAlignment="1">
      <alignment vertical="top" wrapText="1"/>
    </xf>
    <xf numFmtId="0" fontId="2" fillId="0" borderId="0" xfId="0" applyFont="1"/>
    <xf numFmtId="0" fontId="6" fillId="2" borderId="0" xfId="0" applyFont="1" applyFill="1" applyAlignment="1">
      <alignment horizontal="left" vertical="top" wrapText="1"/>
    </xf>
    <xf numFmtId="0" fontId="9" fillId="0" borderId="0" xfId="0" applyFont="1"/>
    <xf numFmtId="10" fontId="7" fillId="3" borderId="8" xfId="0" applyNumberFormat="1" applyFont="1" applyFill="1" applyBorder="1" applyAlignment="1">
      <alignment horizontal="right" vertical="top" wrapText="1"/>
    </xf>
    <xf numFmtId="4" fontId="7" fillId="3" borderId="10" xfId="0" applyNumberFormat="1" applyFont="1" applyFill="1" applyBorder="1" applyAlignment="1">
      <alignment horizontal="right" vertical="top" wrapText="1"/>
    </xf>
    <xf numFmtId="4" fontId="7" fillId="3" borderId="16" xfId="0" applyNumberFormat="1" applyFont="1" applyFill="1" applyBorder="1" applyAlignment="1">
      <alignment horizontal="right" vertical="top" wrapText="1"/>
    </xf>
    <xf numFmtId="10" fontId="7" fillId="3" borderId="18" xfId="0" applyNumberFormat="1" applyFont="1" applyFill="1" applyBorder="1" applyAlignment="1">
      <alignment horizontal="right" vertical="top" wrapText="1"/>
    </xf>
    <xf numFmtId="10" fontId="5" fillId="2" borderId="4" xfId="0" applyNumberFormat="1" applyFont="1" applyFill="1" applyBorder="1" applyAlignment="1">
      <alignment horizontal="right" vertical="center" wrapText="1"/>
    </xf>
    <xf numFmtId="4" fontId="5" fillId="2" borderId="4" xfId="0" applyNumberFormat="1" applyFont="1" applyFill="1" applyBorder="1" applyAlignment="1">
      <alignment horizontal="right" vertical="center" wrapText="1"/>
    </xf>
    <xf numFmtId="0" fontId="11" fillId="0" borderId="0" xfId="0" applyFont="1"/>
    <xf numFmtId="0" fontId="13" fillId="0" borderId="0" xfId="0" applyFont="1"/>
    <xf numFmtId="0" fontId="15" fillId="0" borderId="0" xfId="0" applyFont="1"/>
    <xf numFmtId="0" fontId="17" fillId="5" borderId="1" xfId="0" applyFont="1" applyFill="1" applyBorder="1" applyAlignment="1">
      <alignment horizontal="left" vertical="top" wrapText="1"/>
    </xf>
    <xf numFmtId="0" fontId="17" fillId="5" borderId="1" xfId="0" applyFont="1" applyFill="1" applyBorder="1" applyAlignment="1">
      <alignment horizontal="center" vertical="top" wrapText="1"/>
    </xf>
    <xf numFmtId="0" fontId="17" fillId="5" borderId="1" xfId="0" applyFont="1" applyFill="1" applyBorder="1" applyAlignment="1">
      <alignment horizontal="right" vertical="top" wrapText="1"/>
    </xf>
    <xf numFmtId="10" fontId="8" fillId="3" borderId="52" xfId="0" applyNumberFormat="1" applyFont="1" applyFill="1" applyBorder="1" applyAlignment="1">
      <alignment horizontal="right" vertical="top" wrapText="1"/>
    </xf>
    <xf numFmtId="0" fontId="18" fillId="6" borderId="1" xfId="0" applyFont="1" applyFill="1" applyBorder="1" applyAlignment="1">
      <alignment horizontal="left" vertical="top" wrapText="1"/>
    </xf>
    <xf numFmtId="0" fontId="18" fillId="6" borderId="1" xfId="0" applyFont="1" applyFill="1" applyBorder="1" applyAlignment="1">
      <alignment horizontal="right" vertical="top" wrapText="1"/>
    </xf>
    <xf numFmtId="0" fontId="18" fillId="6" borderId="1" xfId="0" applyFont="1" applyFill="1" applyBorder="1" applyAlignment="1">
      <alignment horizontal="center" vertical="top" wrapText="1"/>
    </xf>
    <xf numFmtId="167" fontId="18" fillId="6" borderId="1" xfId="0" applyNumberFormat="1" applyFont="1" applyFill="1" applyBorder="1" applyAlignment="1">
      <alignment horizontal="right" vertical="top" wrapText="1"/>
    </xf>
    <xf numFmtId="4" fontId="18" fillId="6" borderId="1" xfId="0" applyNumberFormat="1" applyFont="1" applyFill="1" applyBorder="1" applyAlignment="1">
      <alignment horizontal="right" vertical="top" wrapText="1"/>
    </xf>
    <xf numFmtId="0" fontId="18" fillId="5" borderId="0" xfId="0" applyFont="1" applyFill="1" applyAlignment="1">
      <alignment horizontal="right" vertical="top" wrapText="1"/>
    </xf>
    <xf numFmtId="4" fontId="18" fillId="5" borderId="0" xfId="0" applyNumberFormat="1" applyFont="1" applyFill="1" applyAlignment="1">
      <alignment horizontal="right" vertical="top" wrapText="1"/>
    </xf>
    <xf numFmtId="0" fontId="18" fillId="7" borderId="1" xfId="0" applyFont="1" applyFill="1" applyBorder="1" applyAlignment="1">
      <alignment horizontal="left" vertical="top" wrapText="1"/>
    </xf>
    <xf numFmtId="0" fontId="18" fillId="7" borderId="1" xfId="0" applyFont="1" applyFill="1" applyBorder="1" applyAlignment="1">
      <alignment horizontal="right" vertical="top" wrapText="1"/>
    </xf>
    <xf numFmtId="0" fontId="18" fillId="7" borderId="1" xfId="0" applyFont="1" applyFill="1" applyBorder="1" applyAlignment="1">
      <alignment horizontal="center" vertical="top" wrapText="1"/>
    </xf>
    <xf numFmtId="167" fontId="18" fillId="7" borderId="1" xfId="0" applyNumberFormat="1" applyFont="1" applyFill="1" applyBorder="1" applyAlignment="1">
      <alignment horizontal="right" vertical="top" wrapText="1"/>
    </xf>
    <xf numFmtId="4" fontId="18" fillId="7" borderId="1" xfId="0" applyNumberFormat="1" applyFont="1" applyFill="1" applyBorder="1" applyAlignment="1">
      <alignment horizontal="right" vertical="top" wrapText="1"/>
    </xf>
    <xf numFmtId="0" fontId="16" fillId="4" borderId="1" xfId="0" applyFont="1" applyFill="1" applyBorder="1" applyAlignment="1">
      <alignment horizontal="left" vertical="top" wrapText="1"/>
    </xf>
    <xf numFmtId="0" fontId="16" fillId="4" borderId="1" xfId="0" applyFont="1" applyFill="1" applyBorder="1" applyAlignment="1">
      <alignment horizontal="right" vertical="top" wrapText="1"/>
    </xf>
    <xf numFmtId="0" fontId="16" fillId="4" borderId="1" xfId="0" applyFont="1" applyFill="1" applyBorder="1" applyAlignment="1">
      <alignment horizontal="center" vertical="top" wrapText="1"/>
    </xf>
    <xf numFmtId="4" fontId="16" fillId="4" borderId="1" xfId="0" applyNumberFormat="1" applyFont="1" applyFill="1" applyBorder="1" applyAlignment="1">
      <alignment horizontal="right" vertical="top" wrapText="1"/>
    </xf>
    <xf numFmtId="165" fontId="16" fillId="4" borderId="1" xfId="0" applyNumberFormat="1" applyFont="1" applyFill="1" applyBorder="1" applyAlignment="1">
      <alignment horizontal="right" vertical="top" wrapText="1"/>
    </xf>
    <xf numFmtId="4" fontId="15" fillId="0" borderId="0" xfId="0" applyNumberFormat="1" applyFont="1"/>
    <xf numFmtId="0" fontId="17" fillId="5" borderId="1" xfId="0" applyFont="1" applyFill="1" applyBorder="1" applyAlignment="1">
      <alignment horizontal="justify" vertical="top" wrapText="1"/>
    </xf>
    <xf numFmtId="4" fontId="17" fillId="5" borderId="1" xfId="0" applyNumberFormat="1" applyFont="1" applyFill="1" applyBorder="1" applyAlignment="1">
      <alignment horizontal="right" vertical="top" wrapText="1"/>
    </xf>
    <xf numFmtId="165" fontId="17" fillId="5" borderId="1" xfId="0" applyNumberFormat="1" applyFont="1" applyFill="1" applyBorder="1" applyAlignment="1">
      <alignment horizontal="right" vertical="top" wrapText="1"/>
    </xf>
    <xf numFmtId="0" fontId="12" fillId="5" borderId="6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right" vertical="top" wrapText="1"/>
    </xf>
    <xf numFmtId="0" fontId="12" fillId="5" borderId="6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10" fontId="5" fillId="2" borderId="10" xfId="0" applyNumberFormat="1" applyFont="1" applyFill="1" applyBorder="1" applyAlignment="1">
      <alignment horizontal="right" vertical="center" wrapText="1"/>
    </xf>
    <xf numFmtId="10" fontId="8" fillId="3" borderId="0" xfId="0" applyNumberFormat="1" applyFont="1" applyFill="1" applyAlignment="1">
      <alignment horizontal="right" vertical="top" wrapText="1"/>
    </xf>
    <xf numFmtId="0" fontId="6" fillId="2" borderId="0" xfId="0" applyFont="1" applyFill="1" applyAlignment="1">
      <alignment vertical="top" wrapText="1"/>
    </xf>
    <xf numFmtId="0" fontId="21" fillId="0" borderId="0" xfId="0" applyFont="1"/>
    <xf numFmtId="0" fontId="22" fillId="0" borderId="0" xfId="0" applyFont="1"/>
    <xf numFmtId="10" fontId="8" fillId="3" borderId="53" xfId="0" applyNumberFormat="1" applyFont="1" applyFill="1" applyBorder="1" applyAlignment="1">
      <alignment horizontal="right" vertical="top" wrapText="1"/>
    </xf>
    <xf numFmtId="4" fontId="8" fillId="3" borderId="62" xfId="0" applyNumberFormat="1" applyFont="1" applyFill="1" applyBorder="1" applyAlignment="1">
      <alignment horizontal="right" vertical="top" wrapText="1"/>
    </xf>
    <xf numFmtId="4" fontId="8" fillId="3" borderId="63" xfId="0" applyNumberFormat="1" applyFont="1" applyFill="1" applyBorder="1" applyAlignment="1">
      <alignment horizontal="right" vertical="top" wrapText="1"/>
    </xf>
    <xf numFmtId="4" fontId="8" fillId="3" borderId="65" xfId="0" applyNumberFormat="1" applyFont="1" applyFill="1" applyBorder="1" applyAlignment="1">
      <alignment horizontal="right" vertical="top" wrapText="1"/>
    </xf>
    <xf numFmtId="4" fontId="8" fillId="3" borderId="64" xfId="0" applyNumberFormat="1" applyFont="1" applyFill="1" applyBorder="1" applyAlignment="1">
      <alignment horizontal="right" vertical="top" wrapText="1"/>
    </xf>
    <xf numFmtId="10" fontId="8" fillId="3" borderId="66" xfId="0" applyNumberFormat="1" applyFont="1" applyFill="1" applyBorder="1" applyAlignment="1">
      <alignment horizontal="right" vertical="top" wrapText="1"/>
    </xf>
    <xf numFmtId="4" fontId="8" fillId="3" borderId="67" xfId="0" applyNumberFormat="1" applyFont="1" applyFill="1" applyBorder="1" applyAlignment="1">
      <alignment horizontal="right" vertical="top" wrapText="1"/>
    </xf>
    <xf numFmtId="0" fontId="5" fillId="8" borderId="4" xfId="0" applyFont="1" applyFill="1" applyBorder="1" applyAlignment="1">
      <alignment horizontal="left" vertical="top" wrapText="1"/>
    </xf>
    <xf numFmtId="0" fontId="5" fillId="8" borderId="8" xfId="0" applyFont="1" applyFill="1" applyBorder="1" applyAlignment="1">
      <alignment horizontal="right" vertical="top" wrapText="1"/>
    </xf>
    <xf numFmtId="0" fontId="5" fillId="8" borderId="4" xfId="0" applyFont="1" applyFill="1" applyBorder="1" applyAlignment="1">
      <alignment horizontal="right" vertical="top" wrapText="1"/>
    </xf>
    <xf numFmtId="4" fontId="13" fillId="0" borderId="0" xfId="0" applyNumberFormat="1" applyFont="1"/>
    <xf numFmtId="4" fontId="13" fillId="2" borderId="0" xfId="0" applyNumberFormat="1" applyFont="1" applyFill="1" applyAlignment="1">
      <alignment vertical="center" wrapText="1"/>
    </xf>
    <xf numFmtId="10" fontId="8" fillId="3" borderId="15" xfId="0" quotePrefix="1" applyNumberFormat="1" applyFont="1" applyFill="1" applyBorder="1" applyAlignment="1">
      <alignment horizontal="right" vertical="top" wrapText="1"/>
    </xf>
    <xf numFmtId="0" fontId="17" fillId="5" borderId="6" xfId="0" applyFont="1" applyFill="1" applyBorder="1" applyAlignment="1">
      <alignment horizontal="justify" vertical="top" wrapText="1"/>
    </xf>
    <xf numFmtId="0" fontId="17" fillId="5" borderId="6" xfId="0" applyFont="1" applyFill="1" applyBorder="1" applyAlignment="1">
      <alignment horizontal="center" vertical="top" wrapText="1"/>
    </xf>
    <xf numFmtId="4" fontId="17" fillId="5" borderId="6" xfId="0" applyNumberFormat="1" applyFont="1" applyFill="1" applyBorder="1" applyAlignment="1">
      <alignment horizontal="right" vertical="top" wrapText="1"/>
    </xf>
    <xf numFmtId="0" fontId="17" fillId="5" borderId="6" xfId="0" applyFont="1" applyFill="1" applyBorder="1" applyAlignment="1">
      <alignment horizontal="left" vertical="top" wrapText="1"/>
    </xf>
    <xf numFmtId="0" fontId="13" fillId="0" borderId="0" xfId="0" applyFont="1" applyAlignment="1">
      <alignment horizontal="center"/>
    </xf>
    <xf numFmtId="10" fontId="28" fillId="2" borderId="0" xfId="0" applyNumberFormat="1" applyFont="1" applyFill="1" applyAlignment="1">
      <alignment horizontal="left" vertical="top" wrapText="1"/>
    </xf>
    <xf numFmtId="0" fontId="28" fillId="2" borderId="0" xfId="0" applyFont="1" applyFill="1" applyAlignment="1">
      <alignment vertical="top" wrapText="1"/>
    </xf>
    <xf numFmtId="0" fontId="29" fillId="2" borderId="0" xfId="0" applyFont="1" applyFill="1" applyAlignment="1">
      <alignment horizontal="left" vertical="top" wrapText="1"/>
    </xf>
    <xf numFmtId="0" fontId="31" fillId="0" borderId="0" xfId="0" applyFont="1"/>
    <xf numFmtId="0" fontId="30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4" fontId="31" fillId="0" borderId="0" xfId="0" applyNumberFormat="1" applyFont="1"/>
    <xf numFmtId="0" fontId="29" fillId="2" borderId="1" xfId="0" applyFont="1" applyFill="1" applyBorder="1" applyAlignment="1">
      <alignment horizontal="center" vertical="top" wrapText="1"/>
    </xf>
    <xf numFmtId="0" fontId="29" fillId="2" borderId="1" xfId="0" applyFont="1" applyFill="1" applyBorder="1" applyAlignment="1">
      <alignment horizontal="right" vertical="top" wrapText="1"/>
    </xf>
    <xf numFmtId="0" fontId="29" fillId="2" borderId="1" xfId="0" applyFont="1" applyFill="1" applyBorder="1" applyAlignment="1">
      <alignment horizontal="left" vertical="top" wrapText="1"/>
    </xf>
    <xf numFmtId="0" fontId="29" fillId="0" borderId="1" xfId="0" applyFont="1" applyBorder="1" applyAlignment="1">
      <alignment horizontal="left" vertical="top" wrapText="1"/>
    </xf>
    <xf numFmtId="4" fontId="29" fillId="2" borderId="1" xfId="0" applyNumberFormat="1" applyFont="1" applyFill="1" applyBorder="1" applyAlignment="1">
      <alignment horizontal="right" vertical="top" wrapText="1"/>
    </xf>
    <xf numFmtId="0" fontId="13" fillId="2" borderId="0" xfId="0" applyFont="1" applyFill="1" applyAlignment="1">
      <alignment horizontal="center" vertical="top" wrapText="1"/>
    </xf>
    <xf numFmtId="4" fontId="13" fillId="2" borderId="0" xfId="0" applyNumberFormat="1" applyFont="1" applyFill="1" applyAlignment="1">
      <alignment horizontal="center" vertical="top" wrapText="1"/>
    </xf>
    <xf numFmtId="0" fontId="30" fillId="2" borderId="0" xfId="0" applyFont="1" applyFill="1" applyAlignment="1">
      <alignment horizontal="center" vertical="top" wrapText="1"/>
    </xf>
    <xf numFmtId="4" fontId="29" fillId="2" borderId="0" xfId="0" applyNumberFormat="1" applyFont="1" applyFill="1" applyAlignment="1">
      <alignment vertical="top" wrapText="1"/>
    </xf>
    <xf numFmtId="0" fontId="29" fillId="0" borderId="0" xfId="0" applyFont="1"/>
    <xf numFmtId="0" fontId="32" fillId="0" borderId="0" xfId="0" applyFont="1"/>
    <xf numFmtId="0" fontId="33" fillId="2" borderId="0" xfId="0" applyFont="1" applyFill="1" applyAlignment="1">
      <alignment vertical="top" wrapText="1"/>
    </xf>
    <xf numFmtId="0" fontId="18" fillId="2" borderId="0" xfId="0" applyFont="1" applyFill="1" applyAlignment="1">
      <alignment horizontal="left" vertical="top" wrapText="1"/>
    </xf>
    <xf numFmtId="0" fontId="33" fillId="2" borderId="0" xfId="0" applyFont="1" applyFill="1" applyAlignment="1">
      <alignment horizontal="center" vertical="top" wrapText="1"/>
    </xf>
    <xf numFmtId="0" fontId="29" fillId="2" borderId="0" xfId="0" applyFont="1" applyFill="1" applyAlignment="1">
      <alignment vertical="top" wrapText="1"/>
    </xf>
    <xf numFmtId="10" fontId="29" fillId="2" borderId="0" xfId="0" applyNumberFormat="1" applyFont="1" applyFill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10" fontId="13" fillId="0" borderId="0" xfId="0" applyNumberFormat="1" applyFont="1"/>
    <xf numFmtId="0" fontId="16" fillId="0" borderId="0" xfId="0" applyFont="1" applyAlignment="1">
      <alignment horizontal="left" vertical="top" wrapText="1"/>
    </xf>
    <xf numFmtId="4" fontId="16" fillId="0" borderId="0" xfId="0" applyNumberFormat="1" applyFont="1" applyAlignment="1">
      <alignment horizontal="right" vertical="top" wrapText="1"/>
    </xf>
    <xf numFmtId="165" fontId="16" fillId="0" borderId="2" xfId="0" applyNumberFormat="1" applyFont="1" applyBorder="1" applyAlignment="1">
      <alignment horizontal="right" vertical="top" wrapText="1"/>
    </xf>
    <xf numFmtId="0" fontId="29" fillId="2" borderId="0" xfId="0" applyFont="1" applyFill="1" applyAlignment="1">
      <alignment horizontal="right" vertical="top" wrapText="1"/>
    </xf>
    <xf numFmtId="4" fontId="16" fillId="0" borderId="3" xfId="0" applyNumberFormat="1" applyFont="1" applyBorder="1" applyAlignment="1">
      <alignment horizontal="left"/>
    </xf>
    <xf numFmtId="0" fontId="34" fillId="0" borderId="4" xfId="0" applyFont="1" applyBorder="1"/>
    <xf numFmtId="4" fontId="17" fillId="0" borderId="3" xfId="0" applyNumberFormat="1" applyFont="1" applyBorder="1" applyAlignment="1">
      <alignment horizontal="left"/>
    </xf>
    <xf numFmtId="166" fontId="17" fillId="0" borderId="4" xfId="0" applyNumberFormat="1" applyFont="1" applyBorder="1"/>
    <xf numFmtId="0" fontId="33" fillId="2" borderId="0" xfId="0" applyFont="1" applyFill="1" applyAlignment="1">
      <alignment horizontal="left" vertical="top" wrapText="1"/>
    </xf>
    <xf numFmtId="4" fontId="33" fillId="2" borderId="0" xfId="0" applyNumberFormat="1" applyFont="1" applyFill="1" applyAlignment="1">
      <alignment horizontal="left" vertical="top" wrapText="1"/>
    </xf>
    <xf numFmtId="0" fontId="29" fillId="2" borderId="19" xfId="0" applyFont="1" applyFill="1" applyBorder="1" applyAlignment="1">
      <alignment horizontal="center" vertical="top" wrapText="1"/>
    </xf>
    <xf numFmtId="0" fontId="29" fillId="0" borderId="19" xfId="0" applyFont="1" applyBorder="1" applyAlignment="1">
      <alignment horizontal="left" vertical="top" wrapText="1"/>
    </xf>
    <xf numFmtId="4" fontId="29" fillId="2" borderId="19" xfId="0" applyNumberFormat="1" applyFont="1" applyFill="1" applyBorder="1" applyAlignment="1">
      <alignment horizontal="right" vertical="top" wrapText="1"/>
    </xf>
    <xf numFmtId="0" fontId="28" fillId="0" borderId="0" xfId="0" applyFont="1"/>
    <xf numFmtId="0" fontId="35" fillId="0" borderId="0" xfId="0" applyFont="1" applyAlignment="1">
      <alignment horizontal="center"/>
    </xf>
    <xf numFmtId="0" fontId="13" fillId="0" borderId="49" xfId="0" applyFont="1" applyBorder="1" applyAlignment="1">
      <alignment horizontal="center"/>
    </xf>
    <xf numFmtId="0" fontId="12" fillId="10" borderId="60" xfId="0" applyFont="1" applyFill="1" applyBorder="1" applyAlignment="1">
      <alignment vertical="center"/>
    </xf>
    <xf numFmtId="0" fontId="12" fillId="10" borderId="61" xfId="0" applyFont="1" applyFill="1" applyBorder="1" applyAlignment="1">
      <alignment vertical="center"/>
    </xf>
    <xf numFmtId="0" fontId="12" fillId="10" borderId="59" xfId="0" applyFont="1" applyFill="1" applyBorder="1" applyAlignment="1">
      <alignment vertical="center"/>
    </xf>
    <xf numFmtId="0" fontId="13" fillId="0" borderId="47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13" fillId="0" borderId="0" xfId="0" applyFont="1" applyAlignment="1">
      <alignment vertical="center"/>
    </xf>
    <xf numFmtId="0" fontId="12" fillId="10" borderId="50" xfId="0" applyFont="1" applyFill="1" applyBorder="1" applyAlignment="1">
      <alignment horizontal="center"/>
    </xf>
    <xf numFmtId="0" fontId="12" fillId="10" borderId="43" xfId="0" applyFont="1" applyFill="1" applyBorder="1" applyAlignment="1">
      <alignment horizontal="center"/>
    </xf>
    <xf numFmtId="0" fontId="13" fillId="0" borderId="0" xfId="0" applyFont="1" applyAlignment="1">
      <alignment horizontal="justify" vertical="top" wrapText="1"/>
    </xf>
    <xf numFmtId="0" fontId="17" fillId="0" borderId="0" xfId="0" applyFont="1"/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164" fontId="12" fillId="0" borderId="0" xfId="3" applyFont="1" applyBorder="1" applyAlignment="1" applyProtection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wrapText="1"/>
    </xf>
    <xf numFmtId="0" fontId="17" fillId="0" borderId="4" xfId="0" applyFont="1" applyBorder="1"/>
    <xf numFmtId="0" fontId="16" fillId="0" borderId="0" xfId="0" applyFont="1" applyAlignment="1">
      <alignment vertical="center"/>
    </xf>
    <xf numFmtId="168" fontId="17" fillId="0" borderId="4" xfId="1" applyFont="1" applyBorder="1" applyAlignment="1" applyProtection="1">
      <alignment horizontal="center" vertical="center"/>
    </xf>
    <xf numFmtId="0" fontId="16" fillId="0" borderId="4" xfId="0" applyFont="1" applyBorder="1"/>
    <xf numFmtId="168" fontId="17" fillId="0" borderId="4" xfId="1" applyFont="1" applyBorder="1" applyProtection="1"/>
    <xf numFmtId="0" fontId="16" fillId="0" borderId="20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10" fontId="17" fillId="0" borderId="0" xfId="2" applyNumberFormat="1" applyFont="1" applyBorder="1" applyProtection="1"/>
    <xf numFmtId="0" fontId="17" fillId="0" borderId="34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8" fontId="17" fillId="0" borderId="0" xfId="1" applyFont="1" applyBorder="1" applyAlignment="1" applyProtection="1">
      <alignment horizontal="center" vertical="center"/>
    </xf>
    <xf numFmtId="0" fontId="39" fillId="0" borderId="9" xfId="0" applyFont="1" applyBorder="1" applyAlignment="1">
      <alignment vertical="center"/>
    </xf>
    <xf numFmtId="0" fontId="39" fillId="0" borderId="0" xfId="0" applyFont="1" applyAlignment="1">
      <alignment vertical="center"/>
    </xf>
    <xf numFmtId="0" fontId="35" fillId="0" borderId="0" xfId="0" applyFont="1"/>
    <xf numFmtId="0" fontId="40" fillId="0" borderId="0" xfId="0" applyFont="1"/>
    <xf numFmtId="0" fontId="40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/>
    <xf numFmtId="0" fontId="14" fillId="11" borderId="1" xfId="0" applyFont="1" applyFill="1" applyBorder="1" applyAlignment="1">
      <alignment horizontal="left" vertical="top" wrapText="1"/>
    </xf>
    <xf numFmtId="0" fontId="14" fillId="11" borderId="1" xfId="0" applyFont="1" applyFill="1" applyBorder="1" applyAlignment="1">
      <alignment horizontal="right" vertical="top" wrapText="1"/>
    </xf>
    <xf numFmtId="0" fontId="14" fillId="11" borderId="1" xfId="0" applyFont="1" applyFill="1" applyBorder="1" applyAlignment="1">
      <alignment horizontal="center" vertical="top" wrapText="1"/>
    </xf>
    <xf numFmtId="167" fontId="14" fillId="11" borderId="1" xfId="0" applyNumberFormat="1" applyFont="1" applyFill="1" applyBorder="1" applyAlignment="1">
      <alignment horizontal="right" vertical="top" wrapText="1"/>
    </xf>
    <xf numFmtId="4" fontId="14" fillId="11" borderId="1" xfId="0" applyNumberFormat="1" applyFont="1" applyFill="1" applyBorder="1" applyAlignment="1">
      <alignment horizontal="right" vertical="top" wrapText="1"/>
    </xf>
    <xf numFmtId="0" fontId="18" fillId="5" borderId="68" xfId="0" applyFont="1" applyFill="1" applyBorder="1" applyAlignment="1">
      <alignment horizontal="right" vertical="top" wrapText="1"/>
    </xf>
    <xf numFmtId="4" fontId="18" fillId="5" borderId="68" xfId="0" applyNumberFormat="1" applyFont="1" applyFill="1" applyBorder="1" applyAlignment="1">
      <alignment horizontal="right" vertical="top" wrapText="1"/>
    </xf>
    <xf numFmtId="0" fontId="18" fillId="5" borderId="0" xfId="0" applyFont="1" applyFill="1" applyAlignment="1">
      <alignment horizontal="left" vertical="top" wrapText="1"/>
    </xf>
    <xf numFmtId="4" fontId="18" fillId="5" borderId="0" xfId="0" applyNumberFormat="1" applyFont="1" applyFill="1" applyAlignment="1">
      <alignment horizontal="left" vertical="top" wrapText="1"/>
    </xf>
    <xf numFmtId="0" fontId="18" fillId="5" borderId="68" xfId="0" applyFont="1" applyFill="1" applyBorder="1" applyAlignment="1">
      <alignment horizontal="left" vertical="top" wrapText="1"/>
    </xf>
    <xf numFmtId="4" fontId="18" fillId="5" borderId="68" xfId="0" applyNumberFormat="1" applyFont="1" applyFill="1" applyBorder="1" applyAlignment="1">
      <alignment horizontal="left" vertical="top" wrapText="1"/>
    </xf>
    <xf numFmtId="4" fontId="31" fillId="0" borderId="0" xfId="0" applyNumberFormat="1" applyFont="1" applyAlignment="1">
      <alignment horizontal="left"/>
    </xf>
    <xf numFmtId="0" fontId="31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6" fillId="5" borderId="6" xfId="0" applyFont="1" applyFill="1" applyBorder="1" applyAlignment="1">
      <alignment horizontal="left" vertical="top" wrapText="1"/>
    </xf>
    <xf numFmtId="0" fontId="16" fillId="5" borderId="6" xfId="0" applyFont="1" applyFill="1" applyBorder="1" applyAlignment="1">
      <alignment horizontal="justify" vertical="top" wrapText="1"/>
    </xf>
    <xf numFmtId="0" fontId="41" fillId="10" borderId="58" xfId="0" applyFont="1" applyFill="1" applyBorder="1" applyAlignment="1">
      <alignment vertical="center"/>
    </xf>
    <xf numFmtId="0" fontId="16" fillId="12" borderId="1" xfId="0" applyFont="1" applyFill="1" applyBorder="1" applyAlignment="1">
      <alignment horizontal="left" vertical="top" wrapText="1"/>
    </xf>
    <xf numFmtId="0" fontId="16" fillId="12" borderId="54" xfId="0" applyFont="1" applyFill="1" applyBorder="1" applyAlignment="1">
      <alignment vertical="top" wrapText="1"/>
    </xf>
    <xf numFmtId="0" fontId="16" fillId="12" borderId="55" xfId="0" applyFont="1" applyFill="1" applyBorder="1" applyAlignment="1">
      <alignment vertical="top" wrapText="1"/>
    </xf>
    <xf numFmtId="0" fontId="16" fillId="12" borderId="56" xfId="0" applyFont="1" applyFill="1" applyBorder="1" applyAlignment="1">
      <alignment vertical="top" wrapText="1"/>
    </xf>
    <xf numFmtId="4" fontId="16" fillId="12" borderId="1" xfId="0" applyNumberFormat="1" applyFont="1" applyFill="1" applyBorder="1" applyAlignment="1">
      <alignment horizontal="right" vertical="top" wrapText="1"/>
    </xf>
    <xf numFmtId="10" fontId="16" fillId="12" borderId="1" xfId="0" applyNumberFormat="1" applyFont="1" applyFill="1" applyBorder="1" applyAlignment="1">
      <alignment horizontal="right" vertical="top" wrapText="1"/>
    </xf>
    <xf numFmtId="0" fontId="16" fillId="13" borderId="1" xfId="0" applyFont="1" applyFill="1" applyBorder="1" applyAlignment="1">
      <alignment horizontal="left" vertical="top" wrapText="1"/>
    </xf>
    <xf numFmtId="0" fontId="16" fillId="13" borderId="1" xfId="0" applyFont="1" applyFill="1" applyBorder="1" applyAlignment="1">
      <alignment horizontal="center" vertical="top" wrapText="1"/>
    </xf>
    <xf numFmtId="4" fontId="16" fillId="13" borderId="1" xfId="0" applyNumberFormat="1" applyFont="1" applyFill="1" applyBorder="1" applyAlignment="1">
      <alignment horizontal="right" vertical="top" wrapText="1"/>
    </xf>
    <xf numFmtId="4" fontId="43" fillId="14" borderId="73" xfId="0" applyNumberFormat="1" applyFont="1" applyFill="1" applyBorder="1"/>
    <xf numFmtId="4" fontId="43" fillId="14" borderId="74" xfId="0" applyNumberFormat="1" applyFont="1" applyFill="1" applyBorder="1"/>
    <xf numFmtId="4" fontId="15" fillId="0" borderId="47" xfId="0" applyNumberFormat="1" applyFont="1" applyBorder="1"/>
    <xf numFmtId="4" fontId="15" fillId="0" borderId="48" xfId="0" applyNumberFormat="1" applyFont="1" applyBorder="1"/>
    <xf numFmtId="4" fontId="29" fillId="15" borderId="75" xfId="0" applyNumberFormat="1" applyFont="1" applyFill="1" applyBorder="1" applyAlignment="1">
      <alignment horizontal="center" vertical="top" wrapText="1"/>
    </xf>
    <xf numFmtId="4" fontId="29" fillId="15" borderId="76" xfId="0" applyNumberFormat="1" applyFont="1" applyFill="1" applyBorder="1" applyAlignment="1">
      <alignment horizontal="center" vertical="top" wrapText="1"/>
    </xf>
    <xf numFmtId="4" fontId="15" fillId="14" borderId="47" xfId="0" applyNumberFormat="1" applyFont="1" applyFill="1" applyBorder="1"/>
    <xf numFmtId="4" fontId="15" fillId="14" borderId="48" xfId="0" applyNumberFormat="1" applyFont="1" applyFill="1" applyBorder="1"/>
    <xf numFmtId="4" fontId="13" fillId="14" borderId="47" xfId="0" applyNumberFormat="1" applyFont="1" applyFill="1" applyBorder="1"/>
    <xf numFmtId="4" fontId="13" fillId="14" borderId="48" xfId="0" applyNumberFormat="1" applyFont="1" applyFill="1" applyBorder="1"/>
    <xf numFmtId="4" fontId="30" fillId="14" borderId="48" xfId="0" applyNumberFormat="1" applyFont="1" applyFill="1" applyBorder="1"/>
    <xf numFmtId="4" fontId="13" fillId="14" borderId="77" xfId="0" applyNumberFormat="1" applyFont="1" applyFill="1" applyBorder="1"/>
    <xf numFmtId="4" fontId="30" fillId="14" borderId="78" xfId="0" applyNumberFormat="1" applyFont="1" applyFill="1" applyBorder="1"/>
    <xf numFmtId="0" fontId="43" fillId="14" borderId="72" xfId="0" applyFont="1" applyFill="1" applyBorder="1" applyAlignment="1">
      <alignment horizontal="center" vertical="center"/>
    </xf>
    <xf numFmtId="0" fontId="43" fillId="14" borderId="44" xfId="0" applyFont="1" applyFill="1" applyBorder="1" applyAlignment="1">
      <alignment horizontal="center" vertical="center"/>
    </xf>
    <xf numFmtId="0" fontId="43" fillId="14" borderId="73" xfId="0" applyFont="1" applyFill="1" applyBorder="1" applyAlignment="1">
      <alignment horizontal="center"/>
    </xf>
    <xf numFmtId="0" fontId="43" fillId="14" borderId="74" xfId="0" applyFont="1" applyFill="1" applyBorder="1" applyAlignment="1">
      <alignment horizontal="center"/>
    </xf>
    <xf numFmtId="0" fontId="30" fillId="2" borderId="0" xfId="0" applyFont="1" applyFill="1" applyAlignment="1">
      <alignment horizontal="left" vertical="top" wrapText="1"/>
    </xf>
    <xf numFmtId="4" fontId="30" fillId="2" borderId="0" xfId="0" applyNumberFormat="1" applyFont="1" applyFill="1" applyAlignment="1">
      <alignment horizontal="right" vertical="top" wrapText="1"/>
    </xf>
    <xf numFmtId="0" fontId="13" fillId="0" borderId="0" xfId="0" applyFont="1" applyAlignment="1">
      <alignment horizontal="center"/>
    </xf>
    <xf numFmtId="0" fontId="29" fillId="2" borderId="0" xfId="0" applyFont="1" applyFill="1" applyAlignment="1">
      <alignment horizontal="left" vertical="top" wrapText="1"/>
    </xf>
    <xf numFmtId="0" fontId="29" fillId="2" borderId="5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31" fillId="0" borderId="0" xfId="0" applyFont="1" applyAlignment="1">
      <alignment horizontal="left" vertical="center"/>
    </xf>
    <xf numFmtId="0" fontId="30" fillId="0" borderId="0" xfId="0" applyFont="1" applyAlignment="1">
      <alignment horizontal="left"/>
    </xf>
    <xf numFmtId="0" fontId="28" fillId="2" borderId="0" xfId="0" applyFont="1" applyFill="1" applyAlignment="1">
      <alignment horizontal="center" wrapText="1"/>
    </xf>
    <xf numFmtId="0" fontId="32" fillId="0" borderId="0" xfId="0" applyFont="1" applyAlignment="1">
      <alignment horizontal="center"/>
    </xf>
    <xf numFmtId="4" fontId="33" fillId="2" borderId="0" xfId="0" applyNumberFormat="1" applyFont="1" applyFill="1" applyAlignment="1">
      <alignment horizontal="right" vertical="top" wrapText="1"/>
    </xf>
    <xf numFmtId="0" fontId="29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left" vertical="top" wrapText="1"/>
    </xf>
    <xf numFmtId="0" fontId="18" fillId="6" borderId="1" xfId="0" applyFont="1" applyFill="1" applyBorder="1" applyAlignment="1">
      <alignment horizontal="left" vertical="top" wrapText="1"/>
    </xf>
    <xf numFmtId="0" fontId="18" fillId="7" borderId="1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left" vertical="top" wrapText="1"/>
    </xf>
    <xf numFmtId="0" fontId="18" fillId="5" borderId="68" xfId="0" applyFont="1" applyFill="1" applyBorder="1" applyAlignment="1">
      <alignment horizontal="right" vertical="top" wrapText="1"/>
    </xf>
    <xf numFmtId="0" fontId="14" fillId="11" borderId="1" xfId="0" applyFont="1" applyFill="1" applyBorder="1" applyAlignment="1">
      <alignment horizontal="left" vertical="top" wrapText="1"/>
    </xf>
    <xf numFmtId="0" fontId="30" fillId="2" borderId="0" xfId="0" applyFont="1" applyFill="1" applyAlignment="1">
      <alignment horizontal="left" wrapText="1"/>
    </xf>
    <xf numFmtId="4" fontId="30" fillId="2" borderId="0" xfId="0" applyNumberFormat="1" applyFont="1" applyFill="1" applyAlignment="1">
      <alignment horizontal="right" wrapText="1"/>
    </xf>
    <xf numFmtId="0" fontId="28" fillId="2" borderId="0" xfId="0" applyFont="1" applyFill="1" applyAlignment="1">
      <alignment horizontal="center" vertical="center" wrapText="1"/>
    </xf>
    <xf numFmtId="0" fontId="28" fillId="2" borderId="68" xfId="0" applyFont="1" applyFill="1" applyBorder="1" applyAlignment="1">
      <alignment horizontal="center" vertical="top" wrapText="1"/>
    </xf>
    <xf numFmtId="0" fontId="28" fillId="2" borderId="0" xfId="0" applyFont="1" applyFill="1" applyAlignment="1">
      <alignment horizontal="left" vertical="top" wrapText="1"/>
    </xf>
    <xf numFmtId="0" fontId="12" fillId="5" borderId="69" xfId="0" applyFont="1" applyFill="1" applyBorder="1" applyAlignment="1">
      <alignment horizontal="center" vertical="top" wrapText="1"/>
    </xf>
    <xf numFmtId="0" fontId="12" fillId="5" borderId="70" xfId="0" applyFont="1" applyFill="1" applyBorder="1" applyAlignment="1">
      <alignment horizontal="center" vertical="top" wrapText="1"/>
    </xf>
    <xf numFmtId="0" fontId="12" fillId="5" borderId="71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19" xfId="0" applyFont="1" applyFill="1" applyBorder="1" applyAlignment="1">
      <alignment horizontal="center" vertical="top" wrapText="1"/>
    </xf>
    <xf numFmtId="0" fontId="7" fillId="3" borderId="15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6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42" fillId="2" borderId="0" xfId="0" applyFont="1" applyFill="1" applyAlignment="1">
      <alignment horizontal="left" vertical="top" wrapText="1"/>
    </xf>
    <xf numFmtId="0" fontId="6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top" wrapText="1"/>
    </xf>
    <xf numFmtId="0" fontId="28" fillId="2" borderId="5" xfId="0" applyFont="1" applyFill="1" applyBorder="1" applyAlignment="1">
      <alignment horizontal="center" vertical="center" wrapText="1"/>
    </xf>
    <xf numFmtId="10" fontId="12" fillId="10" borderId="43" xfId="0" applyNumberFormat="1" applyFont="1" applyFill="1" applyBorder="1" applyAlignment="1">
      <alignment horizontal="right"/>
    </xf>
    <xf numFmtId="10" fontId="12" fillId="10" borderId="51" xfId="0" applyNumberFormat="1" applyFont="1" applyFill="1" applyBorder="1" applyAlignment="1">
      <alignment horizontal="right"/>
    </xf>
    <xf numFmtId="0" fontId="12" fillId="10" borderId="42" xfId="0" applyFont="1" applyFill="1" applyBorder="1" applyAlignment="1">
      <alignment horizontal="center"/>
    </xf>
    <xf numFmtId="10" fontId="13" fillId="0" borderId="49" xfId="0" applyNumberFormat="1" applyFont="1" applyBorder="1" applyAlignment="1">
      <alignment horizontal="right"/>
    </xf>
    <xf numFmtId="10" fontId="13" fillId="0" borderId="0" xfId="0" applyNumberFormat="1" applyFont="1" applyAlignment="1">
      <alignment horizontal="right"/>
    </xf>
    <xf numFmtId="0" fontId="29" fillId="9" borderId="42" xfId="0" applyFont="1" applyFill="1" applyBorder="1" applyAlignment="1">
      <alignment horizontal="center" vertical="center"/>
    </xf>
    <xf numFmtId="0" fontId="13" fillId="0" borderId="49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12" fillId="10" borderId="58" xfId="0" applyFont="1" applyFill="1" applyBorder="1" applyAlignment="1">
      <alignment horizontal="center"/>
    </xf>
    <xf numFmtId="0" fontId="12" fillId="10" borderId="44" xfId="0" applyFont="1" applyFill="1" applyBorder="1" applyAlignment="1">
      <alignment horizontal="center"/>
    </xf>
    <xf numFmtId="0" fontId="12" fillId="10" borderId="57" xfId="0" applyFont="1" applyFill="1" applyBorder="1" applyAlignment="1">
      <alignment horizontal="center"/>
    </xf>
    <xf numFmtId="0" fontId="12" fillId="10" borderId="45" xfId="0" applyFont="1" applyFill="1" applyBorder="1" applyAlignment="1">
      <alignment horizontal="center"/>
    </xf>
    <xf numFmtId="0" fontId="12" fillId="10" borderId="46" xfId="0" applyFont="1" applyFill="1" applyBorder="1" applyAlignment="1">
      <alignment horizontal="center"/>
    </xf>
    <xf numFmtId="0" fontId="16" fillId="0" borderId="40" xfId="0" applyFont="1" applyBorder="1" applyAlignment="1">
      <alignment horizontal="center" vertical="center"/>
    </xf>
    <xf numFmtId="168" fontId="16" fillId="0" borderId="41" xfId="1" applyFont="1" applyBorder="1" applyAlignment="1" applyProtection="1">
      <alignment horizontal="center" vertical="center"/>
    </xf>
    <xf numFmtId="168" fontId="16" fillId="0" borderId="22" xfId="1" applyFont="1" applyBorder="1" applyAlignment="1" applyProtection="1">
      <alignment horizontal="center" vertical="center"/>
    </xf>
    <xf numFmtId="0" fontId="37" fillId="0" borderId="37" xfId="0" applyFont="1" applyBorder="1" applyAlignment="1">
      <alignment horizontal="left" vertical="center"/>
    </xf>
    <xf numFmtId="168" fontId="17" fillId="0" borderId="38" xfId="1" applyFont="1" applyBorder="1" applyAlignment="1" applyProtection="1">
      <alignment horizontal="center" vertical="center"/>
    </xf>
    <xf numFmtId="168" fontId="17" fillId="9" borderId="39" xfId="1" applyFont="1" applyFill="1" applyBorder="1" applyAlignment="1" applyProtection="1">
      <alignment horizontal="center" vertical="center"/>
    </xf>
    <xf numFmtId="0" fontId="37" fillId="0" borderId="27" xfId="0" applyFont="1" applyBorder="1" applyAlignment="1">
      <alignment horizontal="left" vertical="center"/>
    </xf>
    <xf numFmtId="168" fontId="17" fillId="0" borderId="28" xfId="1" applyFont="1" applyBorder="1" applyAlignment="1" applyProtection="1">
      <alignment horizontal="center" vertical="center"/>
    </xf>
    <xf numFmtId="168" fontId="17" fillId="8" borderId="29" xfId="1" applyFont="1" applyFill="1" applyBorder="1" applyAlignment="1" applyProtection="1">
      <alignment horizontal="center" vertical="center"/>
    </xf>
    <xf numFmtId="0" fontId="37" fillId="0" borderId="34" xfId="0" applyFont="1" applyBorder="1" applyAlignment="1">
      <alignment horizontal="left" vertical="center"/>
    </xf>
    <xf numFmtId="168" fontId="17" fillId="0" borderId="35" xfId="1" applyFont="1" applyBorder="1" applyAlignment="1" applyProtection="1">
      <alignment horizontal="center" vertical="center"/>
    </xf>
    <xf numFmtId="168" fontId="17" fillId="8" borderId="36" xfId="1" applyFont="1" applyFill="1" applyBorder="1" applyAlignment="1" applyProtection="1">
      <alignment horizontal="center" vertical="center"/>
    </xf>
    <xf numFmtId="0" fontId="38" fillId="0" borderId="33" xfId="0" applyFont="1" applyBorder="1" applyAlignment="1">
      <alignment horizontal="left" vertical="center"/>
    </xf>
    <xf numFmtId="168" fontId="17" fillId="0" borderId="4" xfId="1" applyFont="1" applyBorder="1" applyAlignment="1" applyProtection="1">
      <alignment horizontal="center" vertical="center"/>
    </xf>
    <xf numFmtId="168" fontId="17" fillId="0" borderId="3" xfId="1" applyFont="1" applyBorder="1" applyAlignment="1" applyProtection="1">
      <alignment horizontal="center" vertical="center"/>
    </xf>
    <xf numFmtId="0" fontId="37" fillId="0" borderId="30" xfId="0" applyFont="1" applyBorder="1" applyAlignment="1">
      <alignment horizontal="left" vertical="center"/>
    </xf>
    <xf numFmtId="168" fontId="17" fillId="0" borderId="31" xfId="1" applyFont="1" applyBorder="1" applyAlignment="1" applyProtection="1">
      <alignment horizontal="center" vertical="center"/>
    </xf>
    <xf numFmtId="168" fontId="17" fillId="8" borderId="32" xfId="1" applyFont="1" applyFill="1" applyBorder="1" applyAlignment="1" applyProtection="1">
      <alignment horizontal="center" vertical="center"/>
    </xf>
    <xf numFmtId="0" fontId="37" fillId="0" borderId="24" xfId="0" applyFont="1" applyBorder="1" applyAlignment="1">
      <alignment horizontal="left" vertical="center"/>
    </xf>
    <xf numFmtId="168" fontId="17" fillId="0" borderId="25" xfId="1" applyFont="1" applyBorder="1" applyAlignment="1" applyProtection="1">
      <alignment horizontal="center" vertical="center"/>
    </xf>
    <xf numFmtId="168" fontId="17" fillId="8" borderId="26" xfId="1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11" xfId="0" applyFont="1" applyBorder="1" applyAlignment="1">
      <alignment horizontal="right" vertical="center" textRotation="90"/>
    </xf>
    <xf numFmtId="0" fontId="17" fillId="0" borderId="0" xfId="0" applyFont="1" applyAlignment="1">
      <alignment horizontal="left" wrapText="1"/>
    </xf>
    <xf numFmtId="0" fontId="17" fillId="0" borderId="0" xfId="0" applyFont="1" applyAlignment="1">
      <alignment horizontal="center"/>
    </xf>
    <xf numFmtId="0" fontId="36" fillId="0" borderId="0" xfId="0" applyFont="1" applyAlignment="1">
      <alignment horizontal="left" vertical="center"/>
    </xf>
  </cellXfs>
  <cellStyles count="26">
    <cellStyle name="Excel Built-in Excel Built-in Excel Built-in Excel Built-in Excel Built-in Excel Built-in Excel Built-in Separador de milhares 4" xfId="5" xr:uid="{597DAB67-F902-485F-BFFB-CA10CA0FD151}"/>
    <cellStyle name="Excel Built-in Normal" xfId="6" xr:uid="{05EA4AFF-9C13-47B5-8CB9-3722266C1077}"/>
    <cellStyle name="Excel Built-in Normal 3" xfId="8" xr:uid="{60303B14-D097-45D9-88A9-6E2CBA17E264}"/>
    <cellStyle name="Normal" xfId="0" builtinId="0"/>
    <cellStyle name="Normal 141" xfId="16" xr:uid="{F8AD004C-365E-4673-979F-B3D60C8A7E90}"/>
    <cellStyle name="Normal 142" xfId="17" xr:uid="{A1EC443B-4821-4D79-B494-22FB52EA9585}"/>
    <cellStyle name="Normal 147" xfId="21" xr:uid="{11D180B1-EEE5-4733-98E6-FA1374276239}"/>
    <cellStyle name="Normal 148" xfId="19" xr:uid="{7227C627-B30B-452B-AB6B-B2BFCFFE9469}"/>
    <cellStyle name="Normal 152" xfId="20" xr:uid="{383B1D4B-3B2C-46FE-BA57-B17896B75AFE}"/>
    <cellStyle name="Normal 153" xfId="25" xr:uid="{529394B2-4A4D-40B2-8DDB-B5599E87FFB2}"/>
    <cellStyle name="Normal 155" xfId="7" xr:uid="{EC629819-211C-4A2A-8247-46196ED32A36}"/>
    <cellStyle name="Normal 157" xfId="9" xr:uid="{CECB7A97-D08E-48BE-B6C2-7C07FBD78296}"/>
    <cellStyle name="Normal 159" xfId="10" xr:uid="{D670909C-93A9-420A-859D-1CC33C590B81}"/>
    <cellStyle name="Normal 160" xfId="11" xr:uid="{FC2EE9AD-EED4-48BB-937A-E8F8E4C9327E}"/>
    <cellStyle name="Normal 161" xfId="12" xr:uid="{B094DC83-B0D5-4364-AB44-2B679B595BAD}"/>
    <cellStyle name="Normal 166" xfId="22" xr:uid="{9F623FF7-A351-446D-A894-0BD377E86776}"/>
    <cellStyle name="Normal 173" xfId="24" xr:uid="{D1BC4E26-38A6-4BF9-9465-B9B8F8251B3A}"/>
    <cellStyle name="Normal 2" xfId="4" xr:uid="{F3719BD3-BD01-493E-A6C8-6E197D2338BB}"/>
    <cellStyle name="Normal 2 2 2 2" xfId="13" xr:uid="{CDAE59BC-0935-43E6-AACA-882600D36BF8}"/>
    <cellStyle name="Normal 3 3" xfId="18" xr:uid="{06655C18-88E6-4F4F-8C66-B76E5D9B7AEC}"/>
    <cellStyle name="Normal 73" xfId="14" xr:uid="{0DDD7923-E30E-4232-8473-3A684CF41E94}"/>
    <cellStyle name="Normal 85" xfId="15" xr:uid="{999D4968-E998-4F02-8AF3-42D8E637B77A}"/>
    <cellStyle name="Normal 87" xfId="23" xr:uid="{BEF2ECF5-2D76-4004-973C-E40369C87208}"/>
    <cellStyle name="Porcentagem" xfId="2" builtinId="5"/>
    <cellStyle name="Vírgula" xfId="1" builtinId="3"/>
    <cellStyle name="Vírgula 2" xfId="3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2CC"/>
      <rgbColor rgb="FFDEEBF7"/>
      <rgbColor rgb="FF660066"/>
      <rgbColor rgb="FFFF8080"/>
      <rgbColor rgb="FF0070C0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9FB"/>
      <rgbColor rgb="FFE2F0D9"/>
      <rgbColor rgb="FFEFEFEF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CC"/>
      <color rgb="FFB1C6A2"/>
      <color rgb="FF33CCCC"/>
      <color rgb="FF00DFDA"/>
      <color rgb="FFEAF3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8</xdr:col>
      <xdr:colOff>408270</xdr:colOff>
      <xdr:row>0</xdr:row>
      <xdr:rowOff>1590674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9575987-5F9D-4D21-B3FA-904C5891349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171013</xdr:colOff>
      <xdr:row>0</xdr:row>
      <xdr:rowOff>66675</xdr:rowOff>
    </xdr:from>
    <xdr:to>
      <xdr:col>5</xdr:col>
      <xdr:colOff>808531</xdr:colOff>
      <xdr:row>0</xdr:row>
      <xdr:rowOff>1238249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34D0AFC-E1A9-4E98-A6E8-820D584F5D3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171013" y="66675"/>
          <a:ext cx="7743168" cy="1171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8</xdr:col>
      <xdr:colOff>408270</xdr:colOff>
      <xdr:row>0</xdr:row>
      <xdr:rowOff>1590674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7DAC2C2-6982-4929-AECE-283F21E9542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104775</xdr:rowOff>
    </xdr:from>
    <xdr:to>
      <xdr:col>8</xdr:col>
      <xdr:colOff>598770</xdr:colOff>
      <xdr:row>0</xdr:row>
      <xdr:rowOff>1619249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C81102B-D2D7-4F6D-A68F-1DE7E330A2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876300" y="104775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200025</xdr:rowOff>
    </xdr:from>
    <xdr:to>
      <xdr:col>8</xdr:col>
      <xdr:colOff>361746</xdr:colOff>
      <xdr:row>0</xdr:row>
      <xdr:rowOff>1419225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9365D1B-E0E9-473B-AFFE-87EF8BE479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76200" y="200025"/>
          <a:ext cx="8057946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428624</xdr:colOff>
      <xdr:row>0</xdr:row>
      <xdr:rowOff>28575</xdr:rowOff>
    </xdr:from>
    <xdr:to>
      <xdr:col>3</xdr:col>
      <xdr:colOff>914400</xdr:colOff>
      <xdr:row>0</xdr:row>
      <xdr:rowOff>1494248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AD46ED-582E-4380-919E-C0B97303C4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428624" y="28575"/>
          <a:ext cx="9686926" cy="1465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5</xdr:col>
      <xdr:colOff>390525</xdr:colOff>
      <xdr:row>0</xdr:row>
      <xdr:rowOff>1003254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F276632-6229-48B4-8E7C-05FEB0FE64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47625" y="142875"/>
          <a:ext cx="5686425" cy="860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21</xdr:row>
      <xdr:rowOff>0</xdr:rowOff>
    </xdr:from>
    <xdr:to>
      <xdr:col>9</xdr:col>
      <xdr:colOff>275400</xdr:colOff>
      <xdr:row>23</xdr:row>
      <xdr:rowOff>8640</xdr:rowOff>
    </xdr:to>
    <xdr:pic>
      <xdr:nvPicPr>
        <xdr:cNvPr id="6" name="Imagem 4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83520" y="5267160"/>
          <a:ext cx="3612600" cy="408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57150</xdr:colOff>
      <xdr:row>0</xdr:row>
      <xdr:rowOff>152400</xdr:rowOff>
    </xdr:from>
    <xdr:to>
      <xdr:col>11</xdr:col>
      <xdr:colOff>466725</xdr:colOff>
      <xdr:row>1</xdr:row>
      <xdr:rowOff>944514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845FFDB-96E2-4C89-B93B-535D87561FD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57150" y="152400"/>
          <a:ext cx="7753350" cy="11731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8EFFC-E20F-48B2-A4F3-6E09A5BB5DFB}">
  <sheetPr>
    <pageSetUpPr fitToPage="1"/>
  </sheetPr>
  <dimension ref="A1:P132"/>
  <sheetViews>
    <sheetView tabSelected="1" view="pageBreakPreview" topLeftCell="E105" zoomScaleNormal="100" zoomScaleSheetLayoutView="100" workbookViewId="0">
      <selection activeCell="L4" sqref="L4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66.59765625" style="15" customWidth="1"/>
    <col min="5" max="5" width="8.59765625" style="68" customWidth="1"/>
    <col min="6" max="6" width="10.59765625" style="61" customWidth="1"/>
    <col min="7" max="9" width="10.59765625" style="15" customWidth="1"/>
    <col min="10" max="10" width="8.59765625" style="15" customWidth="1"/>
    <col min="11" max="11" width="10.09765625" style="61" hidden="1" customWidth="1"/>
    <col min="12" max="13" width="20.59765625" style="15" customWidth="1"/>
    <col min="14" max="16384" width="9" style="15"/>
  </cols>
  <sheetData>
    <row r="1" spans="1:13" ht="132" customHeight="1">
      <c r="A1" s="199"/>
      <c r="B1" s="199"/>
      <c r="C1" s="199"/>
      <c r="D1" s="199"/>
      <c r="E1" s="199"/>
      <c r="F1" s="199"/>
      <c r="G1" s="199"/>
      <c r="H1" s="199"/>
      <c r="I1" s="199"/>
      <c r="J1" s="199"/>
      <c r="L1" s="193" t="s">
        <v>955</v>
      </c>
      <c r="M1" s="194"/>
    </row>
    <row r="2" spans="1:13" ht="15.75" customHeight="1">
      <c r="A2" s="71" t="s">
        <v>0</v>
      </c>
      <c r="B2" s="71"/>
      <c r="C2" s="71"/>
      <c r="D2" s="16"/>
      <c r="E2" s="200" t="s">
        <v>1</v>
      </c>
      <c r="F2" s="200"/>
      <c r="G2" s="200" t="s">
        <v>2</v>
      </c>
      <c r="H2" s="200"/>
      <c r="I2" s="200" t="s">
        <v>3</v>
      </c>
      <c r="J2" s="200"/>
      <c r="L2" s="195" t="s">
        <v>956</v>
      </c>
      <c r="M2" s="196"/>
    </row>
    <row r="3" spans="1:13" ht="45" customHeight="1">
      <c r="A3" s="201" t="str">
        <f>ORCAMENTO!A3</f>
        <v>MANUTEÇÃO PREVENTIVA E CORRETIVA DA  CRECHE MUNICIPAL "ODINAMAR OLIVEIRA GOMES"</v>
      </c>
      <c r="B3" s="201"/>
      <c r="C3" s="201"/>
      <c r="D3" s="201"/>
      <c r="E3" s="202" t="str">
        <f>ORCAMENTO!C3</f>
        <v xml:space="preserve">SINAPI - 03/2025 - Pará
SEDOP - 02/2025 - Pará
</v>
      </c>
      <c r="F3" s="202"/>
      <c r="G3" s="202" t="s">
        <v>16</v>
      </c>
      <c r="H3" s="202"/>
      <c r="I3" s="202" t="str">
        <f>ORCAMENTO!E3</f>
        <v>Desonerado: 
0,00%</v>
      </c>
      <c r="J3" s="202"/>
      <c r="L3" s="180">
        <v>7.98</v>
      </c>
      <c r="M3" s="181" t="s">
        <v>957</v>
      </c>
    </row>
    <row r="4" spans="1:13" s="16" customFormat="1" ht="18" customHeight="1">
      <c r="A4" s="205" t="s">
        <v>17</v>
      </c>
      <c r="B4" s="205"/>
      <c r="C4" s="205"/>
      <c r="D4" s="205"/>
      <c r="E4" s="205"/>
      <c r="F4" s="205"/>
      <c r="G4" s="205"/>
      <c r="H4" s="205"/>
      <c r="I4" s="205"/>
      <c r="J4" s="205"/>
      <c r="K4" s="38"/>
      <c r="L4" s="182"/>
      <c r="M4" s="183"/>
    </row>
    <row r="5" spans="1:13" ht="30" customHeight="1">
      <c r="A5" s="76" t="s">
        <v>5</v>
      </c>
      <c r="B5" s="77" t="s">
        <v>18</v>
      </c>
      <c r="C5" s="78" t="s">
        <v>19</v>
      </c>
      <c r="D5" s="79" t="s">
        <v>6</v>
      </c>
      <c r="E5" s="76" t="s">
        <v>20</v>
      </c>
      <c r="F5" s="80" t="s">
        <v>21</v>
      </c>
      <c r="G5" s="77" t="s">
        <v>22</v>
      </c>
      <c r="H5" s="77" t="s">
        <v>23</v>
      </c>
      <c r="I5" s="77" t="s">
        <v>7</v>
      </c>
      <c r="J5" s="77" t="s">
        <v>8</v>
      </c>
      <c r="L5" s="184" t="s">
        <v>23</v>
      </c>
      <c r="M5" s="185" t="s">
        <v>7</v>
      </c>
    </row>
    <row r="6" spans="1:13" s="16" customFormat="1" ht="21" customHeight="1">
      <c r="A6" s="33" t="s">
        <v>24</v>
      </c>
      <c r="B6" s="34"/>
      <c r="C6" s="33"/>
      <c r="D6" s="33" t="s">
        <v>9</v>
      </c>
      <c r="E6" s="35"/>
      <c r="F6" s="36"/>
      <c r="G6" s="33"/>
      <c r="H6" s="33"/>
      <c r="I6" s="36">
        <f>SUM(I7:I9)</f>
        <v>46850.25</v>
      </c>
      <c r="J6" s="37">
        <f>I6 / H127</f>
        <v>8.4937359711334148E-2</v>
      </c>
      <c r="K6" s="38">
        <f t="shared" ref="K6:K11" si="0">TRUNC(F6*G6,2)</f>
        <v>0</v>
      </c>
      <c r="L6" s="186"/>
      <c r="M6" s="187"/>
    </row>
    <row r="7" spans="1:13" ht="21" customHeight="1">
      <c r="A7" s="17" t="s">
        <v>25</v>
      </c>
      <c r="B7" s="19" t="s">
        <v>443</v>
      </c>
      <c r="C7" s="17" t="s">
        <v>26</v>
      </c>
      <c r="D7" s="39" t="s">
        <v>592</v>
      </c>
      <c r="E7" s="18" t="s">
        <v>27</v>
      </c>
      <c r="F7" s="40">
        <v>3</v>
      </c>
      <c r="G7" s="40">
        <f>CPU!J7</f>
        <v>247.5</v>
      </c>
      <c r="H7" s="40">
        <f t="shared" ref="H7:H69" si="1">TRUNC(G7 * (1 + 28.82 / 100), 2)</f>
        <v>318.82</v>
      </c>
      <c r="I7" s="40">
        <f t="shared" ref="I7:I9" si="2">TRUNC(F7 * H7, 2)</f>
        <v>956.46</v>
      </c>
      <c r="J7" s="41">
        <f>I7 / H127</f>
        <v>1.7340182191024095E-3</v>
      </c>
      <c r="K7" s="38">
        <f t="shared" si="0"/>
        <v>742.5</v>
      </c>
      <c r="L7" s="188">
        <f>((100+$L$3)/100)*H7</f>
        <v>344.26183600000002</v>
      </c>
      <c r="M7" s="189">
        <f>TRUNC(L7*F7,2)</f>
        <v>1032.78</v>
      </c>
    </row>
    <row r="8" spans="1:13" ht="21" customHeight="1">
      <c r="A8" s="17" t="s">
        <v>28</v>
      </c>
      <c r="B8" s="19" t="s">
        <v>390</v>
      </c>
      <c r="C8" s="17" t="s">
        <v>26</v>
      </c>
      <c r="D8" s="39" t="s">
        <v>444</v>
      </c>
      <c r="E8" s="18" t="s">
        <v>392</v>
      </c>
      <c r="F8" s="40">
        <v>6</v>
      </c>
      <c r="G8" s="40">
        <f>CPU!J12</f>
        <v>3462.72</v>
      </c>
      <c r="H8" s="40">
        <f t="shared" si="1"/>
        <v>4460.67</v>
      </c>
      <c r="I8" s="40">
        <f t="shared" si="2"/>
        <v>26764.02</v>
      </c>
      <c r="J8" s="41">
        <f>I8 / H127</f>
        <v>4.8521943726262749E-2</v>
      </c>
      <c r="K8" s="38">
        <f t="shared" si="0"/>
        <v>20776.32</v>
      </c>
      <c r="L8" s="188">
        <f t="shared" ref="L8:L71" si="3">((100+$L$3)/100)*H8</f>
        <v>4816.6314660000007</v>
      </c>
      <c r="M8" s="189">
        <f t="shared" ref="M8:M71" si="4">TRUNC(L8*F8,2)</f>
        <v>28899.78</v>
      </c>
    </row>
    <row r="9" spans="1:13" ht="21" customHeight="1">
      <c r="A9" s="17" t="s">
        <v>30</v>
      </c>
      <c r="B9" s="19" t="s">
        <v>386</v>
      </c>
      <c r="C9" s="17" t="s">
        <v>26</v>
      </c>
      <c r="D9" s="39" t="s">
        <v>593</v>
      </c>
      <c r="E9" s="18" t="s">
        <v>33</v>
      </c>
      <c r="F9" s="40">
        <v>1</v>
      </c>
      <c r="G9" s="40">
        <f>CPU!J18</f>
        <v>14850</v>
      </c>
      <c r="H9" s="40">
        <f t="shared" si="1"/>
        <v>19129.77</v>
      </c>
      <c r="I9" s="40">
        <f t="shared" si="2"/>
        <v>19129.77</v>
      </c>
      <c r="J9" s="41">
        <f>I9 / H127</f>
        <v>3.4681397765968992E-2</v>
      </c>
      <c r="K9" s="38">
        <f t="shared" si="0"/>
        <v>14850</v>
      </c>
      <c r="L9" s="188">
        <f t="shared" si="3"/>
        <v>20656.325646000001</v>
      </c>
      <c r="M9" s="189">
        <f t="shared" si="4"/>
        <v>20656.32</v>
      </c>
    </row>
    <row r="10" spans="1:13" s="16" customFormat="1" ht="21" customHeight="1">
      <c r="A10" s="33" t="s">
        <v>240</v>
      </c>
      <c r="B10" s="34"/>
      <c r="C10" s="33"/>
      <c r="D10" s="33" t="s">
        <v>438</v>
      </c>
      <c r="E10" s="35"/>
      <c r="F10" s="36"/>
      <c r="G10" s="33"/>
      <c r="H10" s="33"/>
      <c r="I10" s="36">
        <f>I11+I16</f>
        <v>160102.78000000003</v>
      </c>
      <c r="J10" s="37">
        <f>I10 / H127</f>
        <v>0.29025901496031714</v>
      </c>
      <c r="K10" s="38">
        <f t="shared" si="0"/>
        <v>0</v>
      </c>
      <c r="L10" s="188"/>
      <c r="M10" s="189"/>
    </row>
    <row r="11" spans="1:13" s="16" customFormat="1" ht="21" customHeight="1">
      <c r="A11" s="33" t="s">
        <v>241</v>
      </c>
      <c r="B11" s="34"/>
      <c r="C11" s="33"/>
      <c r="D11" s="33" t="s">
        <v>445</v>
      </c>
      <c r="E11" s="35"/>
      <c r="F11" s="36"/>
      <c r="G11" s="33"/>
      <c r="H11" s="33"/>
      <c r="I11" s="36">
        <f>SUM(I12:I15)</f>
        <v>92054.610000000015</v>
      </c>
      <c r="J11" s="37">
        <f>I11 / H127</f>
        <v>0.16689079615704461</v>
      </c>
      <c r="K11" s="38">
        <f t="shared" si="0"/>
        <v>0</v>
      </c>
      <c r="L11" s="188"/>
      <c r="M11" s="189"/>
    </row>
    <row r="12" spans="1:13" ht="21" customHeight="1">
      <c r="A12" s="17" t="s">
        <v>594</v>
      </c>
      <c r="B12" s="19" t="s">
        <v>446</v>
      </c>
      <c r="C12" s="17" t="s">
        <v>29</v>
      </c>
      <c r="D12" s="39" t="s">
        <v>447</v>
      </c>
      <c r="E12" s="18" t="s">
        <v>27</v>
      </c>
      <c r="F12" s="40">
        <v>1271.78</v>
      </c>
      <c r="G12" s="40">
        <f>CPU!J23</f>
        <v>16.97</v>
      </c>
      <c r="H12" s="40">
        <f t="shared" si="1"/>
        <v>21.86</v>
      </c>
      <c r="I12" s="40">
        <f t="shared" ref="I12:I18" si="5">TRUNC(F12 * H12, 2)</f>
        <v>27801.11</v>
      </c>
      <c r="J12" s="41">
        <f>I12 / H127</f>
        <v>5.0402140446302188E-2</v>
      </c>
      <c r="K12" s="38">
        <f>TRUNC(F12*G12,2)</f>
        <v>21582.1</v>
      </c>
      <c r="L12" s="188">
        <f t="shared" si="3"/>
        <v>23.604428000000002</v>
      </c>
      <c r="M12" s="189">
        <f t="shared" si="4"/>
        <v>30019.63</v>
      </c>
    </row>
    <row r="13" spans="1:13" ht="21" customHeight="1">
      <c r="A13" s="17" t="s">
        <v>595</v>
      </c>
      <c r="B13" s="19" t="s">
        <v>449</v>
      </c>
      <c r="C13" s="17" t="s">
        <v>29</v>
      </c>
      <c r="D13" s="39" t="s">
        <v>450</v>
      </c>
      <c r="E13" s="18" t="s">
        <v>27</v>
      </c>
      <c r="F13" s="40">
        <v>1271.78</v>
      </c>
      <c r="G13" s="40">
        <f>CPU!J32</f>
        <v>13.73</v>
      </c>
      <c r="H13" s="40">
        <f t="shared" si="1"/>
        <v>17.68</v>
      </c>
      <c r="I13" s="40">
        <f t="shared" si="5"/>
        <v>22485.07</v>
      </c>
      <c r="J13" s="41">
        <f>I13 / H127</f>
        <v>4.0764403150986991E-2</v>
      </c>
      <c r="K13" s="38">
        <f t="shared" ref="K13:K79" si="6">TRUNC(F13*G13,2)</f>
        <v>17461.53</v>
      </c>
      <c r="L13" s="188">
        <f t="shared" si="3"/>
        <v>19.090864</v>
      </c>
      <c r="M13" s="189">
        <f t="shared" si="4"/>
        <v>24279.37</v>
      </c>
    </row>
    <row r="14" spans="1:13" ht="21" customHeight="1">
      <c r="A14" s="17" t="s">
        <v>596</v>
      </c>
      <c r="B14" s="19" t="s">
        <v>452</v>
      </c>
      <c r="C14" s="17" t="s">
        <v>29</v>
      </c>
      <c r="D14" s="39" t="s">
        <v>453</v>
      </c>
      <c r="E14" s="18" t="s">
        <v>27</v>
      </c>
      <c r="F14" s="40">
        <v>1271.78</v>
      </c>
      <c r="G14" s="40">
        <f>CPU!J42</f>
        <v>21.56</v>
      </c>
      <c r="H14" s="40">
        <f t="shared" si="1"/>
        <v>27.77</v>
      </c>
      <c r="I14" s="40">
        <f t="shared" si="5"/>
        <v>35317.33</v>
      </c>
      <c r="J14" s="41">
        <f>I14 / H127</f>
        <v>6.4028703416820473E-2</v>
      </c>
      <c r="K14" s="38">
        <f t="shared" si="6"/>
        <v>27419.57</v>
      </c>
      <c r="L14" s="188">
        <f t="shared" si="3"/>
        <v>29.986046000000002</v>
      </c>
      <c r="M14" s="189">
        <f t="shared" si="4"/>
        <v>38135.65</v>
      </c>
    </row>
    <row r="15" spans="1:13" ht="21" customHeight="1">
      <c r="A15" s="17" t="s">
        <v>597</v>
      </c>
      <c r="B15" s="19" t="s">
        <v>455</v>
      </c>
      <c r="C15" s="17" t="s">
        <v>29</v>
      </c>
      <c r="D15" s="39" t="s">
        <v>456</v>
      </c>
      <c r="E15" s="18" t="s">
        <v>32</v>
      </c>
      <c r="F15" s="40">
        <v>155</v>
      </c>
      <c r="G15" s="40">
        <f>CPU!J52</f>
        <v>32.31</v>
      </c>
      <c r="H15" s="40">
        <f t="shared" si="1"/>
        <v>41.62</v>
      </c>
      <c r="I15" s="40">
        <f t="shared" si="5"/>
        <v>6451.1</v>
      </c>
      <c r="J15" s="41">
        <f>I15 / H127</f>
        <v>1.1695549142934943E-2</v>
      </c>
      <c r="K15" s="38">
        <f t="shared" si="6"/>
        <v>5008.05</v>
      </c>
      <c r="L15" s="188">
        <f t="shared" si="3"/>
        <v>44.941276000000002</v>
      </c>
      <c r="M15" s="189">
        <f t="shared" si="4"/>
        <v>6965.89</v>
      </c>
    </row>
    <row r="16" spans="1:13" s="16" customFormat="1" ht="21" customHeight="1">
      <c r="A16" s="33" t="s">
        <v>598</v>
      </c>
      <c r="B16" s="34"/>
      <c r="C16" s="33"/>
      <c r="D16" s="33" t="s">
        <v>462</v>
      </c>
      <c r="E16" s="35"/>
      <c r="F16" s="36"/>
      <c r="G16" s="33"/>
      <c r="H16" s="33"/>
      <c r="I16" s="36">
        <f>SUM(I17:I18)</f>
        <v>68048.17</v>
      </c>
      <c r="J16" s="37">
        <f>I16 / H127</f>
        <v>0.12336821880327249</v>
      </c>
      <c r="K16" s="38">
        <f t="shared" si="6"/>
        <v>0</v>
      </c>
      <c r="L16" s="188"/>
      <c r="M16" s="189"/>
    </row>
    <row r="17" spans="1:13" ht="21" customHeight="1">
      <c r="A17" s="17" t="s">
        <v>599</v>
      </c>
      <c r="B17" s="19" t="s">
        <v>600</v>
      </c>
      <c r="C17" s="17" t="s">
        <v>29</v>
      </c>
      <c r="D17" s="39" t="s">
        <v>601</v>
      </c>
      <c r="E17" s="18" t="s">
        <v>27</v>
      </c>
      <c r="F17" s="40">
        <v>211.45</v>
      </c>
      <c r="G17" s="40">
        <f>CPU!J62</f>
        <v>241.44</v>
      </c>
      <c r="H17" s="40">
        <f t="shared" si="1"/>
        <v>311.02</v>
      </c>
      <c r="I17" s="40">
        <f t="shared" si="5"/>
        <v>65765.17</v>
      </c>
      <c r="J17" s="41">
        <f>I17 / H127</f>
        <v>0.11922924425733142</v>
      </c>
      <c r="K17" s="38">
        <f t="shared" si="6"/>
        <v>51052.480000000003</v>
      </c>
      <c r="L17" s="188">
        <f t="shared" si="3"/>
        <v>335.83939600000002</v>
      </c>
      <c r="M17" s="189">
        <f t="shared" si="4"/>
        <v>71013.240000000005</v>
      </c>
    </row>
    <row r="18" spans="1:13" ht="21" customHeight="1">
      <c r="A18" s="17" t="s">
        <v>602</v>
      </c>
      <c r="B18" s="19" t="s">
        <v>464</v>
      </c>
      <c r="C18" s="17" t="s">
        <v>29</v>
      </c>
      <c r="D18" s="39" t="s">
        <v>465</v>
      </c>
      <c r="E18" s="18" t="s">
        <v>466</v>
      </c>
      <c r="F18" s="40">
        <v>60</v>
      </c>
      <c r="G18" s="40">
        <f>CPU!J72</f>
        <v>29.54</v>
      </c>
      <c r="H18" s="40">
        <f t="shared" si="1"/>
        <v>38.049999999999997</v>
      </c>
      <c r="I18" s="40">
        <f t="shared" si="5"/>
        <v>2283</v>
      </c>
      <c r="J18" s="41">
        <f>I18 / H127</f>
        <v>4.1389745459410755E-3</v>
      </c>
      <c r="K18" s="38">
        <f t="shared" si="6"/>
        <v>1772.4</v>
      </c>
      <c r="L18" s="188">
        <f t="shared" si="3"/>
        <v>41.086390000000002</v>
      </c>
      <c r="M18" s="189">
        <f t="shared" si="4"/>
        <v>2465.1799999999998</v>
      </c>
    </row>
    <row r="19" spans="1:13" s="16" customFormat="1" ht="21" customHeight="1">
      <c r="A19" s="33" t="s">
        <v>342</v>
      </c>
      <c r="B19" s="34"/>
      <c r="C19" s="33"/>
      <c r="D19" s="33" t="s">
        <v>10</v>
      </c>
      <c r="E19" s="35"/>
      <c r="F19" s="36"/>
      <c r="G19" s="33"/>
      <c r="H19" s="33"/>
      <c r="I19" s="36">
        <f>I20+I24+I29</f>
        <v>23482.9</v>
      </c>
      <c r="J19" s="37">
        <f>I19 / H127</f>
        <v>4.2573423287288518E-2</v>
      </c>
      <c r="K19" s="38">
        <f t="shared" si="6"/>
        <v>0</v>
      </c>
      <c r="L19" s="188"/>
      <c r="M19" s="189"/>
    </row>
    <row r="20" spans="1:13" s="16" customFormat="1" ht="21" customHeight="1">
      <c r="A20" s="33" t="s">
        <v>279</v>
      </c>
      <c r="B20" s="34"/>
      <c r="C20" s="33"/>
      <c r="D20" s="33" t="s">
        <v>467</v>
      </c>
      <c r="E20" s="35"/>
      <c r="F20" s="36"/>
      <c r="G20" s="33"/>
      <c r="H20" s="33"/>
      <c r="I20" s="36">
        <f>SUM(I21:I23)</f>
        <v>5243.47</v>
      </c>
      <c r="J20" s="37">
        <f>I20 / H127</f>
        <v>9.5061712056091329E-3</v>
      </c>
      <c r="K20" s="38">
        <f t="shared" si="6"/>
        <v>0</v>
      </c>
      <c r="L20" s="188"/>
      <c r="M20" s="189"/>
    </row>
    <row r="21" spans="1:13" ht="21" customHeight="1">
      <c r="A21" s="17" t="s">
        <v>280</v>
      </c>
      <c r="B21" s="19" t="s">
        <v>468</v>
      </c>
      <c r="C21" s="17" t="s">
        <v>29</v>
      </c>
      <c r="D21" s="39" t="s">
        <v>469</v>
      </c>
      <c r="E21" s="18" t="s">
        <v>27</v>
      </c>
      <c r="F21" s="40">
        <v>6.93</v>
      </c>
      <c r="G21" s="40">
        <f>CPU!J78</f>
        <v>8.6300000000000008</v>
      </c>
      <c r="H21" s="40">
        <f t="shared" si="1"/>
        <v>11.11</v>
      </c>
      <c r="I21" s="40">
        <f t="shared" ref="I21:I23" si="7">TRUNC(F21 * H21, 2)</f>
        <v>76.989999999999995</v>
      </c>
      <c r="J21" s="41">
        <f>I21 / H127</f>
        <v>1.3957934747788146E-4</v>
      </c>
      <c r="K21" s="38">
        <f t="shared" si="6"/>
        <v>59.8</v>
      </c>
      <c r="L21" s="188">
        <f t="shared" si="3"/>
        <v>11.996578000000001</v>
      </c>
      <c r="M21" s="189">
        <f t="shared" si="4"/>
        <v>83.13</v>
      </c>
    </row>
    <row r="22" spans="1:13" ht="33" customHeight="1">
      <c r="A22" s="17" t="s">
        <v>281</v>
      </c>
      <c r="B22" s="19" t="s">
        <v>399</v>
      </c>
      <c r="C22" s="17" t="s">
        <v>29</v>
      </c>
      <c r="D22" s="39" t="s">
        <v>470</v>
      </c>
      <c r="E22" s="18" t="s">
        <v>33</v>
      </c>
      <c r="F22" s="40">
        <v>3</v>
      </c>
      <c r="G22" s="40">
        <f>CPU!J84</f>
        <v>992.36</v>
      </c>
      <c r="H22" s="40">
        <f t="shared" si="1"/>
        <v>1278.3499999999999</v>
      </c>
      <c r="I22" s="40">
        <f t="shared" si="7"/>
        <v>3835.05</v>
      </c>
      <c r="J22" s="41">
        <f>I22 / H127</f>
        <v>6.9527701850246705E-3</v>
      </c>
      <c r="K22" s="38">
        <f t="shared" si="6"/>
        <v>2977.08</v>
      </c>
      <c r="L22" s="188">
        <f t="shared" si="3"/>
        <v>1380.3623299999999</v>
      </c>
      <c r="M22" s="189">
        <f t="shared" si="4"/>
        <v>4141.08</v>
      </c>
    </row>
    <row r="23" spans="1:13" ht="33" customHeight="1">
      <c r="A23" s="17" t="s">
        <v>282</v>
      </c>
      <c r="B23" s="19" t="s">
        <v>471</v>
      </c>
      <c r="C23" s="17" t="s">
        <v>29</v>
      </c>
      <c r="D23" s="39" t="s">
        <v>472</v>
      </c>
      <c r="E23" s="18" t="s">
        <v>33</v>
      </c>
      <c r="F23" s="40">
        <v>1</v>
      </c>
      <c r="G23" s="40">
        <f>CPU!J92</f>
        <v>1033.56</v>
      </c>
      <c r="H23" s="40">
        <f t="shared" si="1"/>
        <v>1331.43</v>
      </c>
      <c r="I23" s="40">
        <f t="shared" si="7"/>
        <v>1331.43</v>
      </c>
      <c r="J23" s="41">
        <f>I23 / H127</f>
        <v>2.4138216731065818E-3</v>
      </c>
      <c r="K23" s="38">
        <f t="shared" si="6"/>
        <v>1033.56</v>
      </c>
      <c r="L23" s="188">
        <f t="shared" si="3"/>
        <v>1437.6781140000003</v>
      </c>
      <c r="M23" s="189">
        <f t="shared" si="4"/>
        <v>1437.67</v>
      </c>
    </row>
    <row r="24" spans="1:13" s="16" customFormat="1" ht="21" customHeight="1">
      <c r="A24" s="33" t="s">
        <v>603</v>
      </c>
      <c r="B24" s="34"/>
      <c r="C24" s="33"/>
      <c r="D24" s="33" t="s">
        <v>473</v>
      </c>
      <c r="E24" s="35"/>
      <c r="F24" s="36"/>
      <c r="G24" s="33"/>
      <c r="H24" s="33"/>
      <c r="I24" s="36">
        <f>SUM(I25:I28)</f>
        <v>13695.51</v>
      </c>
      <c r="J24" s="37">
        <f>I24 / H127</f>
        <v>2.4829333019571378E-2</v>
      </c>
      <c r="K24" s="38">
        <f t="shared" si="6"/>
        <v>0</v>
      </c>
      <c r="L24" s="188"/>
      <c r="M24" s="189"/>
    </row>
    <row r="25" spans="1:13" ht="33" customHeight="1">
      <c r="A25" s="17" t="s">
        <v>604</v>
      </c>
      <c r="B25" s="19" t="s">
        <v>474</v>
      </c>
      <c r="C25" s="17" t="s">
        <v>29</v>
      </c>
      <c r="D25" s="39" t="s">
        <v>475</v>
      </c>
      <c r="E25" s="18" t="s">
        <v>27</v>
      </c>
      <c r="F25" s="40">
        <v>12</v>
      </c>
      <c r="G25" s="40">
        <f>CPU!J100</f>
        <v>22.28</v>
      </c>
      <c r="H25" s="40">
        <f t="shared" si="1"/>
        <v>28.7</v>
      </c>
      <c r="I25" s="40">
        <f t="shared" ref="I25:I28" si="8">TRUNC(F25 * H25, 2)</f>
        <v>344.4</v>
      </c>
      <c r="J25" s="41">
        <f>I25 / H127</f>
        <v>6.2438144267284545E-4</v>
      </c>
      <c r="K25" s="38">
        <f t="shared" si="6"/>
        <v>267.36</v>
      </c>
      <c r="L25" s="188">
        <f t="shared" si="3"/>
        <v>30.990260000000003</v>
      </c>
      <c r="M25" s="189">
        <f t="shared" si="4"/>
        <v>371.88</v>
      </c>
    </row>
    <row r="26" spans="1:13" ht="33" customHeight="1">
      <c r="A26" s="17" t="s">
        <v>605</v>
      </c>
      <c r="B26" s="19" t="s">
        <v>353</v>
      </c>
      <c r="C26" s="17" t="s">
        <v>29</v>
      </c>
      <c r="D26" s="39" t="s">
        <v>354</v>
      </c>
      <c r="E26" s="18" t="s">
        <v>27</v>
      </c>
      <c r="F26" s="40">
        <v>6</v>
      </c>
      <c r="G26" s="40">
        <f>CPU!J106</f>
        <v>463.46</v>
      </c>
      <c r="H26" s="40">
        <f t="shared" si="1"/>
        <v>597.02</v>
      </c>
      <c r="I26" s="40">
        <f t="shared" si="8"/>
        <v>3582.12</v>
      </c>
      <c r="J26" s="41">
        <f>I26 / H127</f>
        <v>6.4942196673265194E-3</v>
      </c>
      <c r="K26" s="38">
        <f t="shared" si="6"/>
        <v>2780.76</v>
      </c>
      <c r="L26" s="188">
        <f t="shared" si="3"/>
        <v>644.66219599999999</v>
      </c>
      <c r="M26" s="189">
        <f t="shared" si="4"/>
        <v>3867.97</v>
      </c>
    </row>
    <row r="27" spans="1:13" ht="33" customHeight="1">
      <c r="A27" s="17" t="s">
        <v>606</v>
      </c>
      <c r="B27" s="19" t="s">
        <v>293</v>
      </c>
      <c r="C27" s="17" t="s">
        <v>29</v>
      </c>
      <c r="D27" s="39" t="s">
        <v>355</v>
      </c>
      <c r="E27" s="18" t="s">
        <v>27</v>
      </c>
      <c r="F27" s="40">
        <v>6</v>
      </c>
      <c r="G27" s="40">
        <f>CPU!J114</f>
        <v>466.77</v>
      </c>
      <c r="H27" s="40">
        <f t="shared" si="1"/>
        <v>601.29</v>
      </c>
      <c r="I27" s="40">
        <f t="shared" si="8"/>
        <v>3607.74</v>
      </c>
      <c r="J27" s="41">
        <f>I27 / H127</f>
        <v>6.5406675551351089E-3</v>
      </c>
      <c r="K27" s="38">
        <f t="shared" si="6"/>
        <v>2800.62</v>
      </c>
      <c r="L27" s="188">
        <f t="shared" si="3"/>
        <v>649.27294200000006</v>
      </c>
      <c r="M27" s="189">
        <f t="shared" si="4"/>
        <v>3895.63</v>
      </c>
    </row>
    <row r="28" spans="1:13" ht="33" customHeight="1">
      <c r="A28" s="17" t="s">
        <v>607</v>
      </c>
      <c r="B28" s="19" t="s">
        <v>476</v>
      </c>
      <c r="C28" s="17" t="s">
        <v>66</v>
      </c>
      <c r="D28" s="39" t="s">
        <v>608</v>
      </c>
      <c r="E28" s="18" t="s">
        <v>27</v>
      </c>
      <c r="F28" s="40">
        <v>15</v>
      </c>
      <c r="G28" s="40">
        <f>CPU!J124</f>
        <v>318.86</v>
      </c>
      <c r="H28" s="40">
        <f t="shared" si="1"/>
        <v>410.75</v>
      </c>
      <c r="I28" s="40">
        <f t="shared" si="8"/>
        <v>6161.25</v>
      </c>
      <c r="J28" s="41">
        <f>I28 / H127</f>
        <v>1.1170064354436904E-2</v>
      </c>
      <c r="K28" s="38">
        <f t="shared" si="6"/>
        <v>4782.8999999999996</v>
      </c>
      <c r="L28" s="188">
        <f t="shared" si="3"/>
        <v>443.52785000000006</v>
      </c>
      <c r="M28" s="189">
        <f t="shared" si="4"/>
        <v>6652.91</v>
      </c>
    </row>
    <row r="29" spans="1:13" s="16" customFormat="1" ht="21" customHeight="1">
      <c r="A29" s="33" t="s">
        <v>609</v>
      </c>
      <c r="B29" s="34"/>
      <c r="C29" s="33"/>
      <c r="D29" s="33" t="s">
        <v>477</v>
      </c>
      <c r="E29" s="35"/>
      <c r="F29" s="36"/>
      <c r="G29" s="33"/>
      <c r="H29" s="33"/>
      <c r="I29" s="36">
        <f>SUM(I30:I31)</f>
        <v>4543.92</v>
      </c>
      <c r="J29" s="37">
        <f>I29 / H127</f>
        <v>8.2379190621080026E-3</v>
      </c>
      <c r="K29" s="38">
        <f t="shared" si="6"/>
        <v>0</v>
      </c>
      <c r="L29" s="188"/>
      <c r="M29" s="189"/>
    </row>
    <row r="30" spans="1:13" ht="33" customHeight="1">
      <c r="A30" s="17" t="s">
        <v>610</v>
      </c>
      <c r="B30" s="19" t="s">
        <v>360</v>
      </c>
      <c r="C30" s="17" t="s">
        <v>29</v>
      </c>
      <c r="D30" s="39" t="s">
        <v>361</v>
      </c>
      <c r="E30" s="18" t="s">
        <v>33</v>
      </c>
      <c r="F30" s="40">
        <v>12</v>
      </c>
      <c r="G30" s="40">
        <f>CPU!J132</f>
        <v>156.63</v>
      </c>
      <c r="H30" s="40">
        <f t="shared" si="1"/>
        <v>201.77</v>
      </c>
      <c r="I30" s="40">
        <f t="shared" ref="I30:I31" si="9">TRUNC(F30 * H30, 2)</f>
        <v>2421.2399999999998</v>
      </c>
      <c r="J30" s="41">
        <f>I30 / H127</f>
        <v>4.3895973410487815E-3</v>
      </c>
      <c r="K30" s="38">
        <f t="shared" si="6"/>
        <v>1879.56</v>
      </c>
      <c r="L30" s="188">
        <f t="shared" si="3"/>
        <v>217.87124600000004</v>
      </c>
      <c r="M30" s="189">
        <f t="shared" si="4"/>
        <v>2614.4499999999998</v>
      </c>
    </row>
    <row r="31" spans="1:13" ht="33" customHeight="1">
      <c r="A31" s="17" t="s">
        <v>611</v>
      </c>
      <c r="B31" s="19" t="s">
        <v>478</v>
      </c>
      <c r="C31" s="17" t="s">
        <v>29</v>
      </c>
      <c r="D31" s="39" t="s">
        <v>479</v>
      </c>
      <c r="E31" s="18" t="s">
        <v>33</v>
      </c>
      <c r="F31" s="40">
        <v>12</v>
      </c>
      <c r="G31" s="40">
        <f>CPU!J139</f>
        <v>137.32</v>
      </c>
      <c r="H31" s="40">
        <f t="shared" si="1"/>
        <v>176.89</v>
      </c>
      <c r="I31" s="40">
        <f t="shared" si="9"/>
        <v>2122.6799999999998</v>
      </c>
      <c r="J31" s="41">
        <f>I31 / H127</f>
        <v>3.848321721059221E-3</v>
      </c>
      <c r="K31" s="38">
        <f t="shared" si="6"/>
        <v>1647.84</v>
      </c>
      <c r="L31" s="188">
        <f t="shared" si="3"/>
        <v>191.00582199999999</v>
      </c>
      <c r="M31" s="189">
        <f t="shared" si="4"/>
        <v>2292.06</v>
      </c>
    </row>
    <row r="32" spans="1:13" s="16" customFormat="1" ht="21" customHeight="1">
      <c r="A32" s="33" t="s">
        <v>283</v>
      </c>
      <c r="B32" s="34"/>
      <c r="C32" s="33"/>
      <c r="D32" s="33" t="s">
        <v>385</v>
      </c>
      <c r="E32" s="35"/>
      <c r="F32" s="36"/>
      <c r="G32" s="33"/>
      <c r="H32" s="33"/>
      <c r="I32" s="36">
        <f>I33+I38+I44+I49</f>
        <v>47915.86</v>
      </c>
      <c r="J32" s="37">
        <f>I32 / H127</f>
        <v>8.6869261886498531E-2</v>
      </c>
      <c r="K32" s="38">
        <f t="shared" si="6"/>
        <v>0</v>
      </c>
      <c r="L32" s="188"/>
      <c r="M32" s="189"/>
    </row>
    <row r="33" spans="1:13" s="16" customFormat="1" ht="21" customHeight="1">
      <c r="A33" s="33" t="s">
        <v>284</v>
      </c>
      <c r="B33" s="34"/>
      <c r="C33" s="33"/>
      <c r="D33" s="33" t="s">
        <v>480</v>
      </c>
      <c r="E33" s="35"/>
      <c r="F33" s="36"/>
      <c r="G33" s="33"/>
      <c r="H33" s="33"/>
      <c r="I33" s="36">
        <f>SUM(I34:I37)</f>
        <v>10605.99</v>
      </c>
      <c r="J33" s="37">
        <f>I33 / H127</f>
        <v>1.9228174614325706E-2</v>
      </c>
      <c r="K33" s="38">
        <f t="shared" si="6"/>
        <v>0</v>
      </c>
      <c r="L33" s="188"/>
      <c r="M33" s="189"/>
    </row>
    <row r="34" spans="1:13" ht="33" customHeight="1">
      <c r="A34" s="17" t="s">
        <v>285</v>
      </c>
      <c r="B34" s="19" t="s">
        <v>482</v>
      </c>
      <c r="C34" s="17" t="s">
        <v>29</v>
      </c>
      <c r="D34" s="39" t="s">
        <v>483</v>
      </c>
      <c r="E34" s="18" t="s">
        <v>33</v>
      </c>
      <c r="F34" s="40">
        <v>1</v>
      </c>
      <c r="G34" s="40">
        <f>CPU!J146</f>
        <v>372.73</v>
      </c>
      <c r="H34" s="40">
        <f t="shared" si="1"/>
        <v>480.15</v>
      </c>
      <c r="I34" s="40">
        <f t="shared" ref="I34:I43" si="10">TRUNC(F34 * H34, 2)</f>
        <v>480.15</v>
      </c>
      <c r="J34" s="41">
        <f>I34 / H127</f>
        <v>8.7048998170547842E-4</v>
      </c>
      <c r="K34" s="38">
        <f t="shared" si="6"/>
        <v>372.73</v>
      </c>
      <c r="L34" s="188">
        <f t="shared" si="3"/>
        <v>518.46596999999997</v>
      </c>
      <c r="M34" s="189">
        <f t="shared" si="4"/>
        <v>518.46</v>
      </c>
    </row>
    <row r="35" spans="1:13" ht="33" customHeight="1">
      <c r="A35" s="17" t="s">
        <v>448</v>
      </c>
      <c r="B35" s="19" t="s">
        <v>485</v>
      </c>
      <c r="C35" s="17" t="s">
        <v>29</v>
      </c>
      <c r="D35" s="39" t="s">
        <v>486</v>
      </c>
      <c r="E35" s="18" t="s">
        <v>33</v>
      </c>
      <c r="F35" s="40">
        <v>12</v>
      </c>
      <c r="G35" s="40">
        <f>CPU!J154</f>
        <v>11.29</v>
      </c>
      <c r="H35" s="40">
        <f t="shared" si="1"/>
        <v>14.54</v>
      </c>
      <c r="I35" s="40">
        <f t="shared" si="10"/>
        <v>174.48</v>
      </c>
      <c r="J35" s="41">
        <f>I35 / H127</f>
        <v>3.1632425701962275E-4</v>
      </c>
      <c r="K35" s="38">
        <f t="shared" si="6"/>
        <v>135.47999999999999</v>
      </c>
      <c r="L35" s="188">
        <f t="shared" si="3"/>
        <v>15.700292000000001</v>
      </c>
      <c r="M35" s="189">
        <f t="shared" si="4"/>
        <v>188.4</v>
      </c>
    </row>
    <row r="36" spans="1:13" ht="33" customHeight="1">
      <c r="A36" s="17" t="s">
        <v>451</v>
      </c>
      <c r="B36" s="19" t="s">
        <v>488</v>
      </c>
      <c r="C36" s="17" t="s">
        <v>26</v>
      </c>
      <c r="D36" s="39" t="s">
        <v>489</v>
      </c>
      <c r="E36" s="18" t="s">
        <v>33</v>
      </c>
      <c r="F36" s="40">
        <v>9</v>
      </c>
      <c r="G36" s="40">
        <f>CPU!J162</f>
        <v>163.36000000000001</v>
      </c>
      <c r="H36" s="40">
        <f t="shared" si="1"/>
        <v>210.44</v>
      </c>
      <c r="I36" s="40">
        <f t="shared" si="10"/>
        <v>1893.96</v>
      </c>
      <c r="J36" s="41">
        <f>I36 / H127</f>
        <v>3.4336628256813662E-3</v>
      </c>
      <c r="K36" s="38">
        <f t="shared" si="6"/>
        <v>1470.24</v>
      </c>
      <c r="L36" s="188">
        <f t="shared" si="3"/>
        <v>227.23311200000001</v>
      </c>
      <c r="M36" s="189">
        <f t="shared" si="4"/>
        <v>2045.09</v>
      </c>
    </row>
    <row r="37" spans="1:13" ht="33" customHeight="1">
      <c r="A37" s="17" t="s">
        <v>454</v>
      </c>
      <c r="B37" s="19" t="s">
        <v>506</v>
      </c>
      <c r="C37" s="17" t="s">
        <v>66</v>
      </c>
      <c r="D37" s="39" t="s">
        <v>612</v>
      </c>
      <c r="E37" s="18" t="s">
        <v>507</v>
      </c>
      <c r="F37" s="40">
        <v>60</v>
      </c>
      <c r="G37" s="40">
        <f>CPU!J169</f>
        <v>104.25</v>
      </c>
      <c r="H37" s="40">
        <f t="shared" si="1"/>
        <v>134.29</v>
      </c>
      <c r="I37" s="40">
        <f t="shared" si="10"/>
        <v>8057.4</v>
      </c>
      <c r="J37" s="41">
        <f>I37 / H127</f>
        <v>1.4607697549919238E-2</v>
      </c>
      <c r="K37" s="38">
        <f t="shared" si="6"/>
        <v>6255</v>
      </c>
      <c r="L37" s="188">
        <f t="shared" si="3"/>
        <v>145.00634200000002</v>
      </c>
      <c r="M37" s="189">
        <f t="shared" si="4"/>
        <v>8700.3799999999992</v>
      </c>
    </row>
    <row r="38" spans="1:13" s="16" customFormat="1" ht="21" customHeight="1">
      <c r="A38" s="33" t="s">
        <v>286</v>
      </c>
      <c r="B38" s="34"/>
      <c r="C38" s="33"/>
      <c r="D38" s="33" t="s">
        <v>490</v>
      </c>
      <c r="E38" s="35"/>
      <c r="F38" s="36"/>
      <c r="G38" s="33"/>
      <c r="H38" s="33"/>
      <c r="I38" s="36">
        <f>SUM(I39:I43)</f>
        <v>11827.689999999999</v>
      </c>
      <c r="J38" s="37">
        <f>I38 / H127</f>
        <v>2.1443060817907048E-2</v>
      </c>
      <c r="K38" s="38">
        <f t="shared" si="6"/>
        <v>0</v>
      </c>
      <c r="L38" s="188"/>
      <c r="M38" s="189"/>
    </row>
    <row r="39" spans="1:13" ht="21" customHeight="1">
      <c r="A39" s="17" t="s">
        <v>287</v>
      </c>
      <c r="B39" s="19" t="s">
        <v>311</v>
      </c>
      <c r="C39" s="17" t="s">
        <v>29</v>
      </c>
      <c r="D39" s="39" t="s">
        <v>492</v>
      </c>
      <c r="E39" s="18" t="s">
        <v>33</v>
      </c>
      <c r="F39" s="40">
        <v>1</v>
      </c>
      <c r="G39" s="40">
        <f>CPU!J181</f>
        <v>78.03</v>
      </c>
      <c r="H39" s="40">
        <f t="shared" si="1"/>
        <v>100.51</v>
      </c>
      <c r="I39" s="40">
        <f t="shared" si="10"/>
        <v>100.51</v>
      </c>
      <c r="J39" s="41">
        <f>I39 / H127</f>
        <v>1.8222003136773434E-4</v>
      </c>
      <c r="K39" s="38">
        <f t="shared" si="6"/>
        <v>78.03</v>
      </c>
      <c r="L39" s="188">
        <f t="shared" si="3"/>
        <v>108.53069800000002</v>
      </c>
      <c r="M39" s="189">
        <f t="shared" si="4"/>
        <v>108.53</v>
      </c>
    </row>
    <row r="40" spans="1:13" ht="21" customHeight="1">
      <c r="A40" s="17" t="s">
        <v>457</v>
      </c>
      <c r="B40" s="19" t="s">
        <v>494</v>
      </c>
      <c r="C40" s="17" t="s">
        <v>29</v>
      </c>
      <c r="D40" s="39" t="s">
        <v>495</v>
      </c>
      <c r="E40" s="18" t="s">
        <v>32</v>
      </c>
      <c r="F40" s="40">
        <v>12</v>
      </c>
      <c r="G40" s="40">
        <f>CPU!J188</f>
        <v>17.47</v>
      </c>
      <c r="H40" s="40">
        <f t="shared" si="1"/>
        <v>22.5</v>
      </c>
      <c r="I40" s="40">
        <f t="shared" si="10"/>
        <v>270</v>
      </c>
      <c r="J40" s="41">
        <f>I40 / H127</f>
        <v>4.8949764669473951E-4</v>
      </c>
      <c r="K40" s="38">
        <f t="shared" si="6"/>
        <v>209.64</v>
      </c>
      <c r="L40" s="188">
        <f t="shared" si="3"/>
        <v>24.295500000000001</v>
      </c>
      <c r="M40" s="189">
        <f t="shared" si="4"/>
        <v>291.54000000000002</v>
      </c>
    </row>
    <row r="41" spans="1:13" ht="33" customHeight="1">
      <c r="A41" s="17" t="s">
        <v>458</v>
      </c>
      <c r="B41" s="19" t="s">
        <v>350</v>
      </c>
      <c r="C41" s="17" t="s">
        <v>29</v>
      </c>
      <c r="D41" s="39" t="s">
        <v>497</v>
      </c>
      <c r="E41" s="18" t="s">
        <v>33</v>
      </c>
      <c r="F41" s="40">
        <v>1</v>
      </c>
      <c r="G41" s="40">
        <f>CPU!J196</f>
        <v>58.9</v>
      </c>
      <c r="H41" s="40">
        <f t="shared" si="1"/>
        <v>75.87</v>
      </c>
      <c r="I41" s="40">
        <f t="shared" si="10"/>
        <v>75.87</v>
      </c>
      <c r="J41" s="41">
        <f>I41 / H127</f>
        <v>1.3754883872122182E-4</v>
      </c>
      <c r="K41" s="38">
        <f t="shared" si="6"/>
        <v>58.9</v>
      </c>
      <c r="L41" s="188">
        <f t="shared" si="3"/>
        <v>81.924426000000011</v>
      </c>
      <c r="M41" s="189">
        <f t="shared" si="4"/>
        <v>81.92</v>
      </c>
    </row>
    <row r="42" spans="1:13" ht="33" customHeight="1">
      <c r="A42" s="17" t="s">
        <v>459</v>
      </c>
      <c r="B42" s="19" t="s">
        <v>499</v>
      </c>
      <c r="C42" s="17" t="s">
        <v>29</v>
      </c>
      <c r="D42" s="39" t="s">
        <v>500</v>
      </c>
      <c r="E42" s="18" t="s">
        <v>32</v>
      </c>
      <c r="F42" s="40">
        <v>250</v>
      </c>
      <c r="G42" s="40">
        <f>CPU!J204</f>
        <v>35.270000000000003</v>
      </c>
      <c r="H42" s="40">
        <f t="shared" si="1"/>
        <v>45.43</v>
      </c>
      <c r="I42" s="40">
        <f t="shared" si="10"/>
        <v>11357.5</v>
      </c>
      <c r="J42" s="41">
        <f>I42 / H127</f>
        <v>2.0590627860501868E-2</v>
      </c>
      <c r="K42" s="38">
        <f t="shared" si="6"/>
        <v>8817.5</v>
      </c>
      <c r="L42" s="188">
        <f t="shared" si="3"/>
        <v>49.055314000000003</v>
      </c>
      <c r="M42" s="189">
        <f t="shared" si="4"/>
        <v>12263.82</v>
      </c>
    </row>
    <row r="43" spans="1:13" ht="33" customHeight="1">
      <c r="A43" s="17" t="s">
        <v>460</v>
      </c>
      <c r="B43" s="19" t="s">
        <v>502</v>
      </c>
      <c r="C43" s="17" t="s">
        <v>29</v>
      </c>
      <c r="D43" s="39" t="s">
        <v>503</v>
      </c>
      <c r="E43" s="18" t="s">
        <v>33</v>
      </c>
      <c r="F43" s="40">
        <v>1</v>
      </c>
      <c r="G43" s="40">
        <f>CPU!J212</f>
        <v>18.489999999999998</v>
      </c>
      <c r="H43" s="40">
        <f t="shared" si="1"/>
        <v>23.81</v>
      </c>
      <c r="I43" s="40">
        <f t="shared" si="10"/>
        <v>23.81</v>
      </c>
      <c r="J43" s="41">
        <f>I43 / H127</f>
        <v>4.3166440621487952E-5</v>
      </c>
      <c r="K43" s="38">
        <f t="shared" si="6"/>
        <v>18.489999999999998</v>
      </c>
      <c r="L43" s="188">
        <f t="shared" si="3"/>
        <v>25.710038000000001</v>
      </c>
      <c r="M43" s="189">
        <f t="shared" si="4"/>
        <v>25.71</v>
      </c>
    </row>
    <row r="44" spans="1:13" s="16" customFormat="1" ht="21" customHeight="1">
      <c r="A44" s="33" t="s">
        <v>461</v>
      </c>
      <c r="B44" s="34"/>
      <c r="C44" s="33"/>
      <c r="D44" s="33" t="s">
        <v>508</v>
      </c>
      <c r="E44" s="35"/>
      <c r="F44" s="36"/>
      <c r="G44" s="33"/>
      <c r="H44" s="33"/>
      <c r="I44" s="36">
        <f>SUM(I45:I48)</f>
        <v>14422.35</v>
      </c>
      <c r="J44" s="37">
        <f>I44 / H127</f>
        <v>2.614706068447362E-2</v>
      </c>
      <c r="K44" s="38">
        <f t="shared" si="6"/>
        <v>0</v>
      </c>
      <c r="L44" s="188"/>
      <c r="M44" s="189"/>
    </row>
    <row r="45" spans="1:13" ht="33" customHeight="1">
      <c r="A45" s="17" t="s">
        <v>463</v>
      </c>
      <c r="B45" s="19" t="s">
        <v>509</v>
      </c>
      <c r="C45" s="17" t="s">
        <v>29</v>
      </c>
      <c r="D45" s="39" t="s">
        <v>510</v>
      </c>
      <c r="E45" s="18" t="s">
        <v>33</v>
      </c>
      <c r="F45" s="40">
        <v>171</v>
      </c>
      <c r="G45" s="40">
        <f>CPU!J219</f>
        <v>1.62</v>
      </c>
      <c r="H45" s="40">
        <f t="shared" si="1"/>
        <v>2.08</v>
      </c>
      <c r="I45" s="40">
        <f t="shared" ref="I45:I48" si="11">TRUNC(F45 * H45, 2)</f>
        <v>355.68</v>
      </c>
      <c r="J45" s="41">
        <f>I45 / H127</f>
        <v>6.4483156657920359E-4</v>
      </c>
      <c r="K45" s="38">
        <f t="shared" si="6"/>
        <v>277.02</v>
      </c>
      <c r="L45" s="188">
        <f t="shared" si="3"/>
        <v>2.2459840000000004</v>
      </c>
      <c r="M45" s="189">
        <f t="shared" si="4"/>
        <v>384.06</v>
      </c>
    </row>
    <row r="46" spans="1:13" ht="33" customHeight="1">
      <c r="A46" s="17" t="s">
        <v>613</v>
      </c>
      <c r="B46" s="19" t="s">
        <v>511</v>
      </c>
      <c r="C46" s="17" t="s">
        <v>29</v>
      </c>
      <c r="D46" s="39" t="s">
        <v>512</v>
      </c>
      <c r="E46" s="18" t="s">
        <v>33</v>
      </c>
      <c r="F46" s="40">
        <v>135</v>
      </c>
      <c r="G46" s="40">
        <f>CPU!J225</f>
        <v>34.57</v>
      </c>
      <c r="H46" s="40">
        <f t="shared" si="1"/>
        <v>44.53</v>
      </c>
      <c r="I46" s="40">
        <f t="shared" si="11"/>
        <v>6011.55</v>
      </c>
      <c r="J46" s="41">
        <f>I46 / H127</f>
        <v>1.0898665103658375E-2</v>
      </c>
      <c r="K46" s="38">
        <f t="shared" si="6"/>
        <v>4666.95</v>
      </c>
      <c r="L46" s="188">
        <f t="shared" si="3"/>
        <v>48.083494000000009</v>
      </c>
      <c r="M46" s="189">
        <f t="shared" si="4"/>
        <v>6491.27</v>
      </c>
    </row>
    <row r="47" spans="1:13" ht="33" customHeight="1">
      <c r="A47" s="17" t="s">
        <v>614</v>
      </c>
      <c r="B47" s="19" t="s">
        <v>513</v>
      </c>
      <c r="C47" s="17" t="s">
        <v>29</v>
      </c>
      <c r="D47" s="39" t="s">
        <v>514</v>
      </c>
      <c r="E47" s="18" t="s">
        <v>33</v>
      </c>
      <c r="F47" s="40">
        <v>30</v>
      </c>
      <c r="G47" s="40">
        <f>CPU!J232</f>
        <v>121.86</v>
      </c>
      <c r="H47" s="40">
        <f t="shared" si="1"/>
        <v>156.97999999999999</v>
      </c>
      <c r="I47" s="40">
        <f t="shared" si="11"/>
        <v>4709.3999999999996</v>
      </c>
      <c r="J47" s="41">
        <f>I47 / H127</f>
        <v>8.5379267309044667E-3</v>
      </c>
      <c r="K47" s="38">
        <f t="shared" si="6"/>
        <v>3655.8</v>
      </c>
      <c r="L47" s="188">
        <f t="shared" si="3"/>
        <v>169.50700399999999</v>
      </c>
      <c r="M47" s="189">
        <f t="shared" si="4"/>
        <v>5085.21</v>
      </c>
    </row>
    <row r="48" spans="1:13" ht="33" customHeight="1">
      <c r="A48" s="17" t="s">
        <v>615</v>
      </c>
      <c r="B48" s="19" t="s">
        <v>431</v>
      </c>
      <c r="C48" s="17" t="s">
        <v>29</v>
      </c>
      <c r="D48" s="39" t="s">
        <v>616</v>
      </c>
      <c r="E48" s="18" t="s">
        <v>33</v>
      </c>
      <c r="F48" s="40">
        <v>6</v>
      </c>
      <c r="G48" s="40">
        <f>CPU!J240</f>
        <v>432.87</v>
      </c>
      <c r="H48" s="40">
        <f t="shared" si="1"/>
        <v>557.62</v>
      </c>
      <c r="I48" s="40">
        <f t="shared" si="11"/>
        <v>3345.72</v>
      </c>
      <c r="J48" s="41">
        <f>I48 / H127</f>
        <v>6.0656372833315696E-3</v>
      </c>
      <c r="K48" s="38">
        <f t="shared" si="6"/>
        <v>2597.2199999999998</v>
      </c>
      <c r="L48" s="188">
        <f t="shared" si="3"/>
        <v>602.11807600000009</v>
      </c>
      <c r="M48" s="189">
        <f t="shared" si="4"/>
        <v>3612.7</v>
      </c>
    </row>
    <row r="49" spans="1:13" s="16" customFormat="1" ht="21" customHeight="1">
      <c r="A49" s="33" t="s">
        <v>617</v>
      </c>
      <c r="B49" s="34"/>
      <c r="C49" s="33"/>
      <c r="D49" s="33" t="s">
        <v>515</v>
      </c>
      <c r="E49" s="35"/>
      <c r="F49" s="36"/>
      <c r="G49" s="33"/>
      <c r="H49" s="33"/>
      <c r="I49" s="36">
        <f>SUM(I50:I54)</f>
        <v>11059.83</v>
      </c>
      <c r="J49" s="37">
        <f>I49 / H127</f>
        <v>2.0050965769792151E-2</v>
      </c>
      <c r="K49" s="38">
        <f t="shared" si="6"/>
        <v>0</v>
      </c>
      <c r="L49" s="188"/>
      <c r="M49" s="189"/>
    </row>
    <row r="50" spans="1:13" ht="33" customHeight="1">
      <c r="A50" s="17" t="s">
        <v>618</v>
      </c>
      <c r="B50" s="19" t="s">
        <v>516</v>
      </c>
      <c r="C50" s="17" t="s">
        <v>29</v>
      </c>
      <c r="D50" s="39" t="s">
        <v>517</v>
      </c>
      <c r="E50" s="18" t="s">
        <v>33</v>
      </c>
      <c r="F50" s="40">
        <v>205</v>
      </c>
      <c r="G50" s="40">
        <f>CPU!J249</f>
        <v>0.59</v>
      </c>
      <c r="H50" s="40">
        <f t="shared" si="1"/>
        <v>0.76</v>
      </c>
      <c r="I50" s="40">
        <f t="shared" ref="I50:I54" si="12">TRUNC(F50 * H50, 2)</f>
        <v>155.80000000000001</v>
      </c>
      <c r="J50" s="41">
        <f>I50 / H127</f>
        <v>2.824582716853349E-4</v>
      </c>
      <c r="K50" s="38">
        <f t="shared" si="6"/>
        <v>120.95</v>
      </c>
      <c r="L50" s="188">
        <f t="shared" si="3"/>
        <v>0.82064800000000004</v>
      </c>
      <c r="M50" s="189">
        <f t="shared" si="4"/>
        <v>168.23</v>
      </c>
    </row>
    <row r="51" spans="1:13" ht="33" customHeight="1">
      <c r="A51" s="17" t="s">
        <v>619</v>
      </c>
      <c r="B51" s="19" t="s">
        <v>518</v>
      </c>
      <c r="C51" s="17" t="s">
        <v>29</v>
      </c>
      <c r="D51" s="39" t="s">
        <v>519</v>
      </c>
      <c r="E51" s="18" t="s">
        <v>33</v>
      </c>
      <c r="F51" s="40">
        <v>52</v>
      </c>
      <c r="G51" s="40">
        <f>CPU!J255</f>
        <v>33.25</v>
      </c>
      <c r="H51" s="40">
        <f t="shared" si="1"/>
        <v>42.83</v>
      </c>
      <c r="I51" s="40">
        <f t="shared" si="12"/>
        <v>2227.16</v>
      </c>
      <c r="J51" s="41">
        <f>I51 / H127</f>
        <v>4.0377391807876152E-3</v>
      </c>
      <c r="K51" s="38">
        <f t="shared" si="6"/>
        <v>1729</v>
      </c>
      <c r="L51" s="188">
        <f t="shared" si="3"/>
        <v>46.247834000000005</v>
      </c>
      <c r="M51" s="189">
        <f t="shared" si="4"/>
        <v>2404.88</v>
      </c>
    </row>
    <row r="52" spans="1:13" ht="33" customHeight="1">
      <c r="A52" s="17" t="s">
        <v>620</v>
      </c>
      <c r="B52" s="19" t="s">
        <v>520</v>
      </c>
      <c r="C52" s="17" t="s">
        <v>29</v>
      </c>
      <c r="D52" s="39" t="s">
        <v>521</v>
      </c>
      <c r="E52" s="18" t="s">
        <v>33</v>
      </c>
      <c r="F52" s="40">
        <v>20</v>
      </c>
      <c r="G52" s="40">
        <f>CPU!J261</f>
        <v>53.62</v>
      </c>
      <c r="H52" s="40">
        <f t="shared" si="1"/>
        <v>69.069999999999993</v>
      </c>
      <c r="I52" s="40">
        <f t="shared" si="12"/>
        <v>1381.4</v>
      </c>
      <c r="J52" s="41">
        <f>I52 / H127</f>
        <v>2.504414996830049E-3</v>
      </c>
      <c r="K52" s="38">
        <f t="shared" si="6"/>
        <v>1072.4000000000001</v>
      </c>
      <c r="L52" s="188">
        <f t="shared" si="3"/>
        <v>74.581785999999994</v>
      </c>
      <c r="M52" s="189">
        <f t="shared" si="4"/>
        <v>1491.63</v>
      </c>
    </row>
    <row r="53" spans="1:13" ht="33" customHeight="1">
      <c r="A53" s="17" t="s">
        <v>621</v>
      </c>
      <c r="B53" s="19" t="s">
        <v>622</v>
      </c>
      <c r="C53" s="17" t="s">
        <v>29</v>
      </c>
      <c r="D53" s="39" t="s">
        <v>623</v>
      </c>
      <c r="E53" s="18" t="s">
        <v>33</v>
      </c>
      <c r="F53" s="40">
        <v>7</v>
      </c>
      <c r="G53" s="40">
        <f>CPU!J267</f>
        <v>73.930000000000007</v>
      </c>
      <c r="H53" s="40">
        <f t="shared" si="1"/>
        <v>95.23</v>
      </c>
      <c r="I53" s="40">
        <f t="shared" si="12"/>
        <v>666.61</v>
      </c>
      <c r="J53" s="41">
        <f>I53 / H127</f>
        <v>1.2085334306043715E-3</v>
      </c>
      <c r="K53" s="38">
        <f t="shared" si="6"/>
        <v>517.51</v>
      </c>
      <c r="L53" s="188">
        <f t="shared" si="3"/>
        <v>102.82935400000001</v>
      </c>
      <c r="M53" s="189">
        <f t="shared" si="4"/>
        <v>719.8</v>
      </c>
    </row>
    <row r="54" spans="1:13" ht="33" customHeight="1">
      <c r="A54" s="17" t="s">
        <v>624</v>
      </c>
      <c r="B54" s="19" t="s">
        <v>522</v>
      </c>
      <c r="C54" s="17" t="s">
        <v>29</v>
      </c>
      <c r="D54" s="39" t="s">
        <v>523</v>
      </c>
      <c r="E54" s="18" t="s">
        <v>33</v>
      </c>
      <c r="F54" s="40">
        <v>126</v>
      </c>
      <c r="G54" s="40">
        <f>CPU!J273</f>
        <v>40.840000000000003</v>
      </c>
      <c r="H54" s="40">
        <f t="shared" si="1"/>
        <v>52.61</v>
      </c>
      <c r="I54" s="40">
        <f t="shared" si="12"/>
        <v>6628.86</v>
      </c>
      <c r="J54" s="41">
        <f>I54 / H127</f>
        <v>1.2017819889884781E-2</v>
      </c>
      <c r="K54" s="38">
        <f t="shared" si="6"/>
        <v>5145.84</v>
      </c>
      <c r="L54" s="188">
        <f t="shared" si="3"/>
        <v>56.808278000000001</v>
      </c>
      <c r="M54" s="189">
        <f t="shared" si="4"/>
        <v>7157.84</v>
      </c>
    </row>
    <row r="55" spans="1:13" s="16" customFormat="1" ht="21" customHeight="1">
      <c r="A55" s="33" t="s">
        <v>288</v>
      </c>
      <c r="B55" s="34"/>
      <c r="C55" s="33"/>
      <c r="D55" s="33" t="s">
        <v>384</v>
      </c>
      <c r="E55" s="35"/>
      <c r="F55" s="36"/>
      <c r="G55" s="33"/>
      <c r="H55" s="33"/>
      <c r="I55" s="36">
        <f>I56+I59+I70</f>
        <v>42823.630000000005</v>
      </c>
      <c r="J55" s="37">
        <f>I55 / H127</f>
        <v>7.7637281881208331E-2</v>
      </c>
      <c r="K55" s="38">
        <f t="shared" si="6"/>
        <v>0</v>
      </c>
      <c r="L55" s="188"/>
      <c r="M55" s="189"/>
    </row>
    <row r="56" spans="1:13" s="16" customFormat="1" ht="21" customHeight="1">
      <c r="A56" s="33" t="s">
        <v>289</v>
      </c>
      <c r="B56" s="34"/>
      <c r="C56" s="33"/>
      <c r="D56" s="33" t="s">
        <v>524</v>
      </c>
      <c r="E56" s="35"/>
      <c r="F56" s="36"/>
      <c r="G56" s="33"/>
      <c r="H56" s="33"/>
      <c r="I56" s="36">
        <f>SUM(I57:I58)</f>
        <v>21064.5</v>
      </c>
      <c r="J56" s="37">
        <f>I56 / H127</f>
        <v>3.8188974736301264E-2</v>
      </c>
      <c r="K56" s="38">
        <f t="shared" si="6"/>
        <v>0</v>
      </c>
      <c r="L56" s="188"/>
      <c r="M56" s="189"/>
    </row>
    <row r="57" spans="1:13" ht="21" customHeight="1">
      <c r="A57" s="17" t="s">
        <v>625</v>
      </c>
      <c r="B57" s="19" t="s">
        <v>526</v>
      </c>
      <c r="C57" s="17" t="s">
        <v>66</v>
      </c>
      <c r="D57" s="39" t="s">
        <v>527</v>
      </c>
      <c r="E57" s="18" t="s">
        <v>507</v>
      </c>
      <c r="F57" s="40">
        <v>50</v>
      </c>
      <c r="G57" s="40">
        <f>CPU!J279</f>
        <v>115.68</v>
      </c>
      <c r="H57" s="40">
        <f t="shared" si="1"/>
        <v>149.01</v>
      </c>
      <c r="I57" s="40">
        <f t="shared" ref="I57:I58" si="13">TRUNC(F57 * H57, 2)</f>
        <v>7450.5</v>
      </c>
      <c r="J57" s="41">
        <f>I57 / H127</f>
        <v>1.3507415617404284E-2</v>
      </c>
      <c r="K57" s="38">
        <f t="shared" si="6"/>
        <v>5784</v>
      </c>
      <c r="L57" s="188">
        <f t="shared" si="3"/>
        <v>160.90099800000002</v>
      </c>
      <c r="M57" s="189">
        <f t="shared" si="4"/>
        <v>8045.04</v>
      </c>
    </row>
    <row r="58" spans="1:13" ht="21" customHeight="1">
      <c r="A58" s="17" t="s">
        <v>626</v>
      </c>
      <c r="B58" s="19" t="s">
        <v>529</v>
      </c>
      <c r="C58" s="17" t="s">
        <v>66</v>
      </c>
      <c r="D58" s="39" t="s">
        <v>530</v>
      </c>
      <c r="E58" s="18" t="s">
        <v>507</v>
      </c>
      <c r="F58" s="40">
        <v>60</v>
      </c>
      <c r="G58" s="40">
        <f>CPU!J284</f>
        <v>176.14</v>
      </c>
      <c r="H58" s="40">
        <f t="shared" si="1"/>
        <v>226.9</v>
      </c>
      <c r="I58" s="40">
        <f t="shared" si="13"/>
        <v>13614</v>
      </c>
      <c r="J58" s="41">
        <f>I58 / H127</f>
        <v>2.4681559118896978E-2</v>
      </c>
      <c r="K58" s="38">
        <f t="shared" si="6"/>
        <v>10568.4</v>
      </c>
      <c r="L58" s="188">
        <f t="shared" si="3"/>
        <v>245.00662000000003</v>
      </c>
      <c r="M58" s="189">
        <f t="shared" si="4"/>
        <v>14700.39</v>
      </c>
    </row>
    <row r="59" spans="1:13" s="16" customFormat="1" ht="21" customHeight="1">
      <c r="A59" s="33" t="s">
        <v>290</v>
      </c>
      <c r="B59" s="34"/>
      <c r="C59" s="33"/>
      <c r="D59" s="33" t="s">
        <v>532</v>
      </c>
      <c r="E59" s="35"/>
      <c r="F59" s="36"/>
      <c r="G59" s="33"/>
      <c r="H59" s="33"/>
      <c r="I59" s="36">
        <f>SUM(I60:I69)</f>
        <v>14771.630000000001</v>
      </c>
      <c r="J59" s="37">
        <f>I59 / H127</f>
        <v>2.6780289343871909E-2</v>
      </c>
      <c r="K59" s="38">
        <f t="shared" si="6"/>
        <v>0</v>
      </c>
      <c r="L59" s="188"/>
      <c r="M59" s="189"/>
    </row>
    <row r="60" spans="1:13" ht="33" customHeight="1">
      <c r="A60" s="17" t="s">
        <v>627</v>
      </c>
      <c r="B60" s="19" t="s">
        <v>534</v>
      </c>
      <c r="C60" s="17" t="s">
        <v>29</v>
      </c>
      <c r="D60" s="39" t="s">
        <v>535</v>
      </c>
      <c r="E60" s="18" t="s">
        <v>33</v>
      </c>
      <c r="F60" s="40">
        <v>51</v>
      </c>
      <c r="G60" s="40">
        <f>CPU!J289</f>
        <v>8.3000000000000007</v>
      </c>
      <c r="H60" s="40">
        <f t="shared" si="1"/>
        <v>10.69</v>
      </c>
      <c r="I60" s="40">
        <f t="shared" ref="I60:I69" si="14">TRUNC(F60 * H60, 2)</f>
        <v>545.19000000000005</v>
      </c>
      <c r="J60" s="41">
        <f>I60 / H127</f>
        <v>9.8840452593150019E-4</v>
      </c>
      <c r="K60" s="38">
        <f t="shared" si="6"/>
        <v>423.3</v>
      </c>
      <c r="L60" s="188">
        <f t="shared" si="3"/>
        <v>11.543062000000001</v>
      </c>
      <c r="M60" s="189">
        <f t="shared" si="4"/>
        <v>588.69000000000005</v>
      </c>
    </row>
    <row r="61" spans="1:13" ht="33" customHeight="1">
      <c r="A61" s="17" t="s">
        <v>628</v>
      </c>
      <c r="B61" s="19" t="s">
        <v>309</v>
      </c>
      <c r="C61" s="17" t="s">
        <v>29</v>
      </c>
      <c r="D61" s="39" t="s">
        <v>352</v>
      </c>
      <c r="E61" s="18" t="s">
        <v>33</v>
      </c>
      <c r="F61" s="40">
        <v>1</v>
      </c>
      <c r="G61" s="40">
        <f>CPU!J295</f>
        <v>476.91</v>
      </c>
      <c r="H61" s="40">
        <f t="shared" si="1"/>
        <v>614.35</v>
      </c>
      <c r="I61" s="40">
        <f t="shared" si="14"/>
        <v>614.35</v>
      </c>
      <c r="J61" s="41">
        <f>I61 / H127</f>
        <v>1.1137884416552342E-3</v>
      </c>
      <c r="K61" s="38">
        <f t="shared" si="6"/>
        <v>476.91</v>
      </c>
      <c r="L61" s="188">
        <f t="shared" si="3"/>
        <v>663.37513000000013</v>
      </c>
      <c r="M61" s="189">
        <f t="shared" si="4"/>
        <v>663.37</v>
      </c>
    </row>
    <row r="62" spans="1:13" ht="33" customHeight="1">
      <c r="A62" s="17" t="s">
        <v>629</v>
      </c>
      <c r="B62" s="19" t="s">
        <v>537</v>
      </c>
      <c r="C62" s="17" t="s">
        <v>29</v>
      </c>
      <c r="D62" s="39" t="s">
        <v>538</v>
      </c>
      <c r="E62" s="18" t="s">
        <v>33</v>
      </c>
      <c r="F62" s="40">
        <v>1</v>
      </c>
      <c r="G62" s="40">
        <f>CPU!J305</f>
        <v>727.29</v>
      </c>
      <c r="H62" s="40">
        <f t="shared" si="1"/>
        <v>936.89</v>
      </c>
      <c r="I62" s="40">
        <f t="shared" si="14"/>
        <v>936.89</v>
      </c>
      <c r="J62" s="41">
        <f>I62 / H127</f>
        <v>1.698538704488276E-3</v>
      </c>
      <c r="K62" s="38">
        <f t="shared" si="6"/>
        <v>727.29</v>
      </c>
      <c r="L62" s="188">
        <f t="shared" si="3"/>
        <v>1011.6538220000001</v>
      </c>
      <c r="M62" s="189">
        <f t="shared" si="4"/>
        <v>1011.65</v>
      </c>
    </row>
    <row r="63" spans="1:13" ht="33" customHeight="1">
      <c r="A63" s="17" t="s">
        <v>630</v>
      </c>
      <c r="B63" s="19" t="s">
        <v>427</v>
      </c>
      <c r="C63" s="17" t="s">
        <v>29</v>
      </c>
      <c r="D63" s="39" t="s">
        <v>539</v>
      </c>
      <c r="E63" s="18" t="s">
        <v>33</v>
      </c>
      <c r="F63" s="40">
        <v>14</v>
      </c>
      <c r="G63" s="40">
        <f>CPU!J314</f>
        <v>107.4</v>
      </c>
      <c r="H63" s="40">
        <f t="shared" si="1"/>
        <v>138.35</v>
      </c>
      <c r="I63" s="40">
        <f t="shared" si="14"/>
        <v>1936.9</v>
      </c>
      <c r="J63" s="41">
        <f>I63 / H127</f>
        <v>3.5115110810483002E-3</v>
      </c>
      <c r="K63" s="38">
        <f t="shared" si="6"/>
        <v>1503.6</v>
      </c>
      <c r="L63" s="188">
        <f t="shared" si="3"/>
        <v>149.39033000000001</v>
      </c>
      <c r="M63" s="189">
        <f t="shared" si="4"/>
        <v>2091.46</v>
      </c>
    </row>
    <row r="64" spans="1:13" ht="21" customHeight="1">
      <c r="A64" s="17" t="s">
        <v>631</v>
      </c>
      <c r="B64" s="19" t="s">
        <v>540</v>
      </c>
      <c r="C64" s="17" t="s">
        <v>29</v>
      </c>
      <c r="D64" s="39" t="s">
        <v>541</v>
      </c>
      <c r="E64" s="18" t="s">
        <v>33</v>
      </c>
      <c r="F64" s="40">
        <v>31</v>
      </c>
      <c r="G64" s="40">
        <f>CPU!J322</f>
        <v>96.1</v>
      </c>
      <c r="H64" s="40">
        <f t="shared" si="1"/>
        <v>123.79</v>
      </c>
      <c r="I64" s="40">
        <f t="shared" si="14"/>
        <v>3837.49</v>
      </c>
      <c r="J64" s="41">
        <f>I64 / H127</f>
        <v>6.9571937933873926E-3</v>
      </c>
      <c r="K64" s="38">
        <f t="shared" si="6"/>
        <v>2979.1</v>
      </c>
      <c r="L64" s="188">
        <f t="shared" si="3"/>
        <v>133.66844200000003</v>
      </c>
      <c r="M64" s="189">
        <f t="shared" si="4"/>
        <v>4143.72</v>
      </c>
    </row>
    <row r="65" spans="1:13" ht="21" customHeight="1">
      <c r="A65" s="17" t="s">
        <v>632</v>
      </c>
      <c r="B65" s="19" t="s">
        <v>423</v>
      </c>
      <c r="C65" s="17" t="s">
        <v>29</v>
      </c>
      <c r="D65" s="39" t="s">
        <v>424</v>
      </c>
      <c r="E65" s="18" t="s">
        <v>33</v>
      </c>
      <c r="F65" s="40">
        <v>6</v>
      </c>
      <c r="G65" s="40">
        <f>CPU!J330</f>
        <v>74.209999999999994</v>
      </c>
      <c r="H65" s="40">
        <f t="shared" si="1"/>
        <v>95.59</v>
      </c>
      <c r="I65" s="40">
        <f t="shared" si="14"/>
        <v>573.54</v>
      </c>
      <c r="J65" s="41">
        <f>I65 / H127</f>
        <v>1.0398017788344478E-3</v>
      </c>
      <c r="K65" s="38">
        <f t="shared" si="6"/>
        <v>445.26</v>
      </c>
      <c r="L65" s="188">
        <f t="shared" si="3"/>
        <v>103.21808200000001</v>
      </c>
      <c r="M65" s="189">
        <f t="shared" si="4"/>
        <v>619.29999999999995</v>
      </c>
    </row>
    <row r="66" spans="1:13" ht="21" customHeight="1">
      <c r="A66" s="17" t="s">
        <v>633</v>
      </c>
      <c r="B66" s="19" t="s">
        <v>542</v>
      </c>
      <c r="C66" s="17" t="s">
        <v>29</v>
      </c>
      <c r="D66" s="39" t="s">
        <v>543</v>
      </c>
      <c r="E66" s="18" t="s">
        <v>33</v>
      </c>
      <c r="F66" s="40">
        <v>2</v>
      </c>
      <c r="G66" s="40">
        <f>CPU!J338</f>
        <v>373.05</v>
      </c>
      <c r="H66" s="40">
        <f t="shared" si="1"/>
        <v>480.56</v>
      </c>
      <c r="I66" s="40">
        <f t="shared" si="14"/>
        <v>961.12</v>
      </c>
      <c r="J66" s="41">
        <f>I66 / H127</f>
        <v>1.7424665858935112E-3</v>
      </c>
      <c r="K66" s="38">
        <f t="shared" si="6"/>
        <v>746.1</v>
      </c>
      <c r="L66" s="188">
        <f t="shared" si="3"/>
        <v>518.9086880000001</v>
      </c>
      <c r="M66" s="189">
        <f t="shared" si="4"/>
        <v>1037.81</v>
      </c>
    </row>
    <row r="67" spans="1:13" ht="21" customHeight="1">
      <c r="A67" s="17" t="s">
        <v>634</v>
      </c>
      <c r="B67" s="19" t="s">
        <v>421</v>
      </c>
      <c r="C67" s="17" t="s">
        <v>29</v>
      </c>
      <c r="D67" s="39" t="s">
        <v>422</v>
      </c>
      <c r="E67" s="18" t="s">
        <v>33</v>
      </c>
      <c r="F67" s="40">
        <v>30</v>
      </c>
      <c r="G67" s="40">
        <f>CPU!J346</f>
        <v>12.45</v>
      </c>
      <c r="H67" s="40">
        <f t="shared" si="1"/>
        <v>16.03</v>
      </c>
      <c r="I67" s="40">
        <f t="shared" si="14"/>
        <v>480.9</v>
      </c>
      <c r="J67" s="41">
        <f>I67 / H127</f>
        <v>8.7184969739074157E-4</v>
      </c>
      <c r="K67" s="38">
        <f t="shared" si="6"/>
        <v>373.5</v>
      </c>
      <c r="L67" s="188">
        <f t="shared" si="3"/>
        <v>17.309194000000002</v>
      </c>
      <c r="M67" s="189">
        <f t="shared" si="4"/>
        <v>519.27</v>
      </c>
    </row>
    <row r="68" spans="1:13" ht="21" customHeight="1">
      <c r="A68" s="17" t="s">
        <v>635</v>
      </c>
      <c r="B68" s="19" t="s">
        <v>405</v>
      </c>
      <c r="C68" s="17" t="s">
        <v>29</v>
      </c>
      <c r="D68" s="39" t="s">
        <v>544</v>
      </c>
      <c r="E68" s="18" t="s">
        <v>33</v>
      </c>
      <c r="F68" s="40">
        <v>1</v>
      </c>
      <c r="G68" s="40">
        <f>CPU!J354</f>
        <v>49.79</v>
      </c>
      <c r="H68" s="40">
        <f t="shared" si="1"/>
        <v>64.13</v>
      </c>
      <c r="I68" s="40">
        <f t="shared" si="14"/>
        <v>64.13</v>
      </c>
      <c r="J68" s="41">
        <f>I68 / H127</f>
        <v>1.1626475586123571E-4</v>
      </c>
      <c r="K68" s="38">
        <f t="shared" si="6"/>
        <v>49.79</v>
      </c>
      <c r="L68" s="188">
        <f t="shared" si="3"/>
        <v>69.247574</v>
      </c>
      <c r="M68" s="189">
        <f t="shared" si="4"/>
        <v>69.239999999999995</v>
      </c>
    </row>
    <row r="69" spans="1:13" ht="21" customHeight="1">
      <c r="A69" s="17" t="s">
        <v>636</v>
      </c>
      <c r="B69" s="19" t="s">
        <v>545</v>
      </c>
      <c r="C69" s="17" t="s">
        <v>29</v>
      </c>
      <c r="D69" s="39" t="s">
        <v>546</v>
      </c>
      <c r="E69" s="18" t="s">
        <v>33</v>
      </c>
      <c r="F69" s="40">
        <v>12</v>
      </c>
      <c r="G69" s="40">
        <f>CPU!J364</f>
        <v>311.88</v>
      </c>
      <c r="H69" s="40">
        <f t="shared" si="1"/>
        <v>401.76</v>
      </c>
      <c r="I69" s="40">
        <f t="shared" si="14"/>
        <v>4821.12</v>
      </c>
      <c r="J69" s="41">
        <f>I69 / H127</f>
        <v>8.7404699793812695E-3</v>
      </c>
      <c r="K69" s="38">
        <f t="shared" si="6"/>
        <v>3742.56</v>
      </c>
      <c r="L69" s="188">
        <f t="shared" si="3"/>
        <v>433.82044800000006</v>
      </c>
      <c r="M69" s="189">
        <f t="shared" si="4"/>
        <v>5205.84</v>
      </c>
    </row>
    <row r="70" spans="1:13" s="16" customFormat="1" ht="21" customHeight="1">
      <c r="A70" s="33" t="s">
        <v>637</v>
      </c>
      <c r="B70" s="34"/>
      <c r="C70" s="33"/>
      <c r="D70" s="33" t="s">
        <v>462</v>
      </c>
      <c r="E70" s="35"/>
      <c r="F70" s="36"/>
      <c r="G70" s="33"/>
      <c r="H70" s="33"/>
      <c r="I70" s="36">
        <f>SUM(I71:I75)</f>
        <v>6987.5</v>
      </c>
      <c r="J70" s="37">
        <f>I70 / H127</f>
        <v>1.2668017801035157E-2</v>
      </c>
      <c r="K70" s="38">
        <f t="shared" si="6"/>
        <v>0</v>
      </c>
      <c r="L70" s="188"/>
      <c r="M70" s="189"/>
    </row>
    <row r="71" spans="1:13" ht="21" customHeight="1">
      <c r="A71" s="17" t="s">
        <v>638</v>
      </c>
      <c r="B71" s="19" t="s">
        <v>549</v>
      </c>
      <c r="C71" s="17" t="s">
        <v>29</v>
      </c>
      <c r="D71" s="39" t="s">
        <v>550</v>
      </c>
      <c r="E71" s="18" t="s">
        <v>33</v>
      </c>
      <c r="F71" s="40">
        <v>1</v>
      </c>
      <c r="G71" s="40">
        <f>CPU!J372</f>
        <v>808.64</v>
      </c>
      <c r="H71" s="40">
        <f t="shared" ref="H71:H123" si="15">TRUNC(G71 * (1 + 28.82 / 100), 2)</f>
        <v>1041.69</v>
      </c>
      <c r="I71" s="40">
        <f t="shared" ref="I71:I75" si="16">TRUNC(F71 * H71, 2)</f>
        <v>1041.69</v>
      </c>
      <c r="J71" s="41">
        <f>I71 / H127</f>
        <v>1.8885363095757157E-3</v>
      </c>
      <c r="K71" s="38">
        <f t="shared" si="6"/>
        <v>808.64</v>
      </c>
      <c r="L71" s="188">
        <f t="shared" si="3"/>
        <v>1124.8168620000001</v>
      </c>
      <c r="M71" s="189">
        <f t="shared" si="4"/>
        <v>1124.81</v>
      </c>
    </row>
    <row r="72" spans="1:13" ht="21" customHeight="1">
      <c r="A72" s="17" t="s">
        <v>639</v>
      </c>
      <c r="B72" s="19" t="s">
        <v>551</v>
      </c>
      <c r="C72" s="17" t="s">
        <v>29</v>
      </c>
      <c r="D72" s="39" t="s">
        <v>552</v>
      </c>
      <c r="E72" s="18" t="s">
        <v>33</v>
      </c>
      <c r="F72" s="40">
        <v>2</v>
      </c>
      <c r="G72" s="40">
        <f>CPU!J391</f>
        <v>165.82</v>
      </c>
      <c r="H72" s="40">
        <f t="shared" si="15"/>
        <v>213.6</v>
      </c>
      <c r="I72" s="40">
        <f t="shared" si="16"/>
        <v>427.2</v>
      </c>
      <c r="J72" s="41">
        <f>I72 / H127</f>
        <v>7.7449405432589895E-4</v>
      </c>
      <c r="K72" s="38">
        <f t="shared" si="6"/>
        <v>331.64</v>
      </c>
      <c r="L72" s="188">
        <f t="shared" ref="L72:L123" si="17">((100+$L$3)/100)*H72</f>
        <v>230.64528000000001</v>
      </c>
      <c r="M72" s="189">
        <f t="shared" ref="M72:M123" si="18">TRUNC(L72*F72,2)</f>
        <v>461.29</v>
      </c>
    </row>
    <row r="73" spans="1:13" ht="21" customHeight="1">
      <c r="A73" s="17" t="s">
        <v>640</v>
      </c>
      <c r="B73" s="19" t="s">
        <v>553</v>
      </c>
      <c r="C73" s="17" t="s">
        <v>29</v>
      </c>
      <c r="D73" s="39" t="s">
        <v>554</v>
      </c>
      <c r="E73" s="18" t="s">
        <v>33</v>
      </c>
      <c r="F73" s="40">
        <v>1</v>
      </c>
      <c r="G73" s="40">
        <f>CPU!J401</f>
        <v>1682.73</v>
      </c>
      <c r="H73" s="40">
        <f t="shared" si="15"/>
        <v>2167.69</v>
      </c>
      <c r="I73" s="40">
        <f t="shared" si="16"/>
        <v>2167.69</v>
      </c>
      <c r="J73" s="41">
        <f>I73 / H127</f>
        <v>3.9299227917174813E-3</v>
      </c>
      <c r="K73" s="38">
        <f t="shared" si="6"/>
        <v>1682.73</v>
      </c>
      <c r="L73" s="188">
        <f t="shared" si="17"/>
        <v>2340.6716620000002</v>
      </c>
      <c r="M73" s="189">
        <f t="shared" si="18"/>
        <v>2340.67</v>
      </c>
    </row>
    <row r="74" spans="1:13" ht="21" customHeight="1">
      <c r="A74" s="17" t="s">
        <v>641</v>
      </c>
      <c r="B74" s="19" t="s">
        <v>555</v>
      </c>
      <c r="C74" s="17" t="s">
        <v>29</v>
      </c>
      <c r="D74" s="39" t="s">
        <v>556</v>
      </c>
      <c r="E74" s="18" t="s">
        <v>33</v>
      </c>
      <c r="F74" s="40">
        <v>2</v>
      </c>
      <c r="G74" s="40">
        <f>CPU!J413</f>
        <v>36.32</v>
      </c>
      <c r="H74" s="40">
        <f t="shared" si="15"/>
        <v>46.78</v>
      </c>
      <c r="I74" s="40">
        <f t="shared" si="16"/>
        <v>93.56</v>
      </c>
      <c r="J74" s="41">
        <f>I74 / H127</f>
        <v>1.6961999935096234E-4</v>
      </c>
      <c r="K74" s="38">
        <f t="shared" si="6"/>
        <v>72.64</v>
      </c>
      <c r="L74" s="188">
        <f t="shared" si="17"/>
        <v>50.513044000000008</v>
      </c>
      <c r="M74" s="189">
        <f t="shared" si="18"/>
        <v>101.02</v>
      </c>
    </row>
    <row r="75" spans="1:13" ht="33" customHeight="1">
      <c r="A75" s="17" t="s">
        <v>642</v>
      </c>
      <c r="B75" s="19" t="s">
        <v>557</v>
      </c>
      <c r="C75" s="17" t="s">
        <v>66</v>
      </c>
      <c r="D75" s="39" t="s">
        <v>558</v>
      </c>
      <c r="E75" s="18" t="s">
        <v>33</v>
      </c>
      <c r="F75" s="40">
        <v>1</v>
      </c>
      <c r="G75" s="40">
        <f>CPU!J421</f>
        <v>2528.62</v>
      </c>
      <c r="H75" s="40">
        <f t="shared" si="15"/>
        <v>3257.36</v>
      </c>
      <c r="I75" s="40">
        <f t="shared" si="16"/>
        <v>3257.36</v>
      </c>
      <c r="J75" s="41">
        <f>I75 / H127</f>
        <v>5.9054446460650991E-3</v>
      </c>
      <c r="K75" s="38">
        <f t="shared" si="6"/>
        <v>2528.62</v>
      </c>
      <c r="L75" s="188">
        <f t="shared" si="17"/>
        <v>3517.2973280000006</v>
      </c>
      <c r="M75" s="189">
        <f t="shared" si="18"/>
        <v>3517.29</v>
      </c>
    </row>
    <row r="76" spans="1:13" s="16" customFormat="1" ht="21" customHeight="1">
      <c r="A76" s="33" t="s">
        <v>291</v>
      </c>
      <c r="B76" s="34"/>
      <c r="C76" s="33"/>
      <c r="D76" s="33" t="s">
        <v>439</v>
      </c>
      <c r="E76" s="35"/>
      <c r="F76" s="36"/>
      <c r="G76" s="33"/>
      <c r="H76" s="33"/>
      <c r="I76" s="36">
        <f>SUM(I77:I81)</f>
        <v>29855.599999999999</v>
      </c>
      <c r="J76" s="37">
        <f>I76 / H127</f>
        <v>5.412683681725728E-2</v>
      </c>
      <c r="K76" s="38">
        <f t="shared" si="6"/>
        <v>0</v>
      </c>
      <c r="L76" s="188">
        <f t="shared" si="17"/>
        <v>0</v>
      </c>
      <c r="M76" s="189">
        <f t="shared" si="18"/>
        <v>0</v>
      </c>
    </row>
    <row r="77" spans="1:13" ht="21" customHeight="1">
      <c r="A77" s="17" t="s">
        <v>292</v>
      </c>
      <c r="B77" s="19" t="s">
        <v>563</v>
      </c>
      <c r="C77" s="17" t="s">
        <v>29</v>
      </c>
      <c r="D77" s="39" t="s">
        <v>564</v>
      </c>
      <c r="E77" s="18" t="s">
        <v>27</v>
      </c>
      <c r="F77" s="40">
        <v>100</v>
      </c>
      <c r="G77" s="40">
        <f>CPU!J433</f>
        <v>20.64</v>
      </c>
      <c r="H77" s="40">
        <f t="shared" si="15"/>
        <v>26.58</v>
      </c>
      <c r="I77" s="40">
        <f t="shared" ref="I77:I81" si="19">TRUNC(F77 * H77, 2)</f>
        <v>2658</v>
      </c>
      <c r="J77" s="41">
        <f>I77 / H127</f>
        <v>4.8188323885726579E-3</v>
      </c>
      <c r="K77" s="38">
        <f t="shared" si="6"/>
        <v>2064</v>
      </c>
      <c r="L77" s="188">
        <f t="shared" si="17"/>
        <v>28.701084000000002</v>
      </c>
      <c r="M77" s="189">
        <f t="shared" si="18"/>
        <v>2870.1</v>
      </c>
    </row>
    <row r="78" spans="1:13" ht="21" customHeight="1">
      <c r="A78" s="17" t="s">
        <v>294</v>
      </c>
      <c r="B78" s="19" t="s">
        <v>559</v>
      </c>
      <c r="C78" s="17" t="s">
        <v>29</v>
      </c>
      <c r="D78" s="39" t="s">
        <v>560</v>
      </c>
      <c r="E78" s="18" t="s">
        <v>27</v>
      </c>
      <c r="F78" s="40">
        <v>100</v>
      </c>
      <c r="G78" s="40">
        <f>CPU!J439</f>
        <v>7.78</v>
      </c>
      <c r="H78" s="40">
        <f t="shared" si="15"/>
        <v>10.02</v>
      </c>
      <c r="I78" s="40">
        <f t="shared" si="19"/>
        <v>1002</v>
      </c>
      <c r="J78" s="41">
        <f>I78 / H127</f>
        <v>1.816580155511589E-3</v>
      </c>
      <c r="K78" s="38">
        <f t="shared" si="6"/>
        <v>778</v>
      </c>
      <c r="L78" s="188">
        <f t="shared" si="17"/>
        <v>10.819596000000001</v>
      </c>
      <c r="M78" s="189">
        <f t="shared" si="18"/>
        <v>1081.95</v>
      </c>
    </row>
    <row r="79" spans="1:13" ht="21" customHeight="1">
      <c r="A79" s="17" t="s">
        <v>345</v>
      </c>
      <c r="B79" s="19" t="s">
        <v>561</v>
      </c>
      <c r="C79" s="17" t="s">
        <v>29</v>
      </c>
      <c r="D79" s="39" t="s">
        <v>562</v>
      </c>
      <c r="E79" s="18" t="s">
        <v>27</v>
      </c>
      <c r="F79" s="40">
        <v>100</v>
      </c>
      <c r="G79" s="40">
        <f>CPU!J446</f>
        <v>29.8</v>
      </c>
      <c r="H79" s="40">
        <f t="shared" si="15"/>
        <v>38.380000000000003</v>
      </c>
      <c r="I79" s="40">
        <f t="shared" si="19"/>
        <v>3838</v>
      </c>
      <c r="J79" s="41">
        <f>I79 / H127</f>
        <v>6.9581184000533716E-3</v>
      </c>
      <c r="K79" s="38">
        <f t="shared" si="6"/>
        <v>2980</v>
      </c>
      <c r="L79" s="188">
        <f t="shared" si="17"/>
        <v>41.442724000000005</v>
      </c>
      <c r="M79" s="189">
        <f t="shared" si="18"/>
        <v>4144.2700000000004</v>
      </c>
    </row>
    <row r="80" spans="1:13" ht="21" customHeight="1">
      <c r="A80" s="17" t="s">
        <v>346</v>
      </c>
      <c r="B80" s="19" t="s">
        <v>348</v>
      </c>
      <c r="C80" s="17" t="s">
        <v>29</v>
      </c>
      <c r="D80" s="39" t="s">
        <v>565</v>
      </c>
      <c r="E80" s="18" t="s">
        <v>27</v>
      </c>
      <c r="F80" s="40">
        <v>100</v>
      </c>
      <c r="G80" s="40">
        <f>CPU!J453</f>
        <v>71.67</v>
      </c>
      <c r="H80" s="40">
        <f t="shared" si="15"/>
        <v>92.32</v>
      </c>
      <c r="I80" s="40">
        <f t="shared" si="19"/>
        <v>9232</v>
      </c>
      <c r="J80" s="41">
        <f>I80 / H127</f>
        <v>1.6737193608466056E-2</v>
      </c>
      <c r="K80" s="38">
        <f t="shared" ref="K80:K123" si="20">TRUNC(F80*G80,2)</f>
        <v>7167</v>
      </c>
      <c r="L80" s="188">
        <f t="shared" si="17"/>
        <v>99.687135999999995</v>
      </c>
      <c r="M80" s="189">
        <f t="shared" si="18"/>
        <v>9968.7099999999991</v>
      </c>
    </row>
    <row r="81" spans="1:13" ht="21" customHeight="1">
      <c r="A81" s="17" t="s">
        <v>347</v>
      </c>
      <c r="B81" s="19" t="s">
        <v>643</v>
      </c>
      <c r="C81" s="17" t="s">
        <v>66</v>
      </c>
      <c r="D81" s="39" t="s">
        <v>644</v>
      </c>
      <c r="E81" s="18" t="s">
        <v>27</v>
      </c>
      <c r="F81" s="40">
        <v>80</v>
      </c>
      <c r="G81" s="40">
        <f>CPU!J462</f>
        <v>127.37</v>
      </c>
      <c r="H81" s="40">
        <f t="shared" si="15"/>
        <v>164.07</v>
      </c>
      <c r="I81" s="40">
        <f t="shared" si="19"/>
        <v>13125.6</v>
      </c>
      <c r="J81" s="41">
        <f>I81 / H127</f>
        <v>2.3796112264653606E-2</v>
      </c>
      <c r="K81" s="38">
        <f t="shared" si="20"/>
        <v>10189.6</v>
      </c>
      <c r="L81" s="188">
        <f t="shared" si="17"/>
        <v>177.16278600000001</v>
      </c>
      <c r="M81" s="189">
        <f t="shared" si="18"/>
        <v>14173.02</v>
      </c>
    </row>
    <row r="82" spans="1:13" s="16" customFormat="1" ht="21" customHeight="1">
      <c r="A82" s="33" t="s">
        <v>295</v>
      </c>
      <c r="B82" s="34"/>
      <c r="C82" s="33"/>
      <c r="D82" s="33" t="s">
        <v>440</v>
      </c>
      <c r="E82" s="35"/>
      <c r="F82" s="36"/>
      <c r="G82" s="33"/>
      <c r="H82" s="33"/>
      <c r="I82" s="36">
        <f>I83+I89+I95</f>
        <v>74786.899999999994</v>
      </c>
      <c r="J82" s="37">
        <f>I82 / H127</f>
        <v>0.13558522797627709</v>
      </c>
      <c r="K82" s="38">
        <f t="shared" si="20"/>
        <v>0</v>
      </c>
      <c r="L82" s="188"/>
      <c r="M82" s="189"/>
    </row>
    <row r="83" spans="1:13" s="16" customFormat="1" ht="21" customHeight="1">
      <c r="A83" s="33" t="s">
        <v>296</v>
      </c>
      <c r="B83" s="34"/>
      <c r="C83" s="33"/>
      <c r="D83" s="33" t="s">
        <v>645</v>
      </c>
      <c r="E83" s="35"/>
      <c r="F83" s="36"/>
      <c r="G83" s="33"/>
      <c r="H83" s="33"/>
      <c r="I83" s="36">
        <f>SUM(I84:I88)</f>
        <v>18865.099999999999</v>
      </c>
      <c r="J83" s="37">
        <f>I83 / H127</f>
        <v>3.4201563165410849E-2</v>
      </c>
      <c r="K83" s="38">
        <f t="shared" si="20"/>
        <v>0</v>
      </c>
      <c r="L83" s="188"/>
      <c r="M83" s="189"/>
    </row>
    <row r="84" spans="1:13" ht="30" customHeight="1">
      <c r="A84" s="17" t="s">
        <v>481</v>
      </c>
      <c r="B84" s="19" t="s">
        <v>563</v>
      </c>
      <c r="C84" s="17" t="s">
        <v>29</v>
      </c>
      <c r="D84" s="39" t="s">
        <v>564</v>
      </c>
      <c r="E84" s="18" t="s">
        <v>27</v>
      </c>
      <c r="F84" s="40">
        <v>150</v>
      </c>
      <c r="G84" s="40">
        <f>CPU!J471</f>
        <v>20.64</v>
      </c>
      <c r="H84" s="40">
        <f t="shared" si="15"/>
        <v>26.58</v>
      </c>
      <c r="I84" s="40">
        <f t="shared" ref="I84:I88" si="21">TRUNC(F84 * H84, 2)</f>
        <v>3987</v>
      </c>
      <c r="J84" s="41">
        <f>I84 / H127</f>
        <v>7.2282485828589873E-3</v>
      </c>
      <c r="K84" s="38">
        <f t="shared" si="20"/>
        <v>3096</v>
      </c>
      <c r="L84" s="188">
        <f t="shared" si="17"/>
        <v>28.701084000000002</v>
      </c>
      <c r="M84" s="189">
        <f t="shared" si="18"/>
        <v>4305.16</v>
      </c>
    </row>
    <row r="85" spans="1:13" ht="30" customHeight="1">
      <c r="A85" s="17" t="s">
        <v>484</v>
      </c>
      <c r="B85" s="19" t="s">
        <v>566</v>
      </c>
      <c r="C85" s="17" t="s">
        <v>29</v>
      </c>
      <c r="D85" s="39" t="s">
        <v>567</v>
      </c>
      <c r="E85" s="18" t="s">
        <v>32</v>
      </c>
      <c r="F85" s="40">
        <v>100</v>
      </c>
      <c r="G85" s="40">
        <f>CPU!J477</f>
        <v>2.36</v>
      </c>
      <c r="H85" s="40">
        <f t="shared" si="15"/>
        <v>3.04</v>
      </c>
      <c r="I85" s="40">
        <f t="shared" si="21"/>
        <v>304</v>
      </c>
      <c r="J85" s="41">
        <f>I85 / H127</f>
        <v>5.5113809109333639E-4</v>
      </c>
      <c r="K85" s="38">
        <f t="shared" si="20"/>
        <v>236</v>
      </c>
      <c r="L85" s="188">
        <f t="shared" si="17"/>
        <v>3.2825920000000002</v>
      </c>
      <c r="M85" s="189">
        <f t="shared" si="18"/>
        <v>328.25</v>
      </c>
    </row>
    <row r="86" spans="1:13" ht="30" customHeight="1">
      <c r="A86" s="17" t="s">
        <v>487</v>
      </c>
      <c r="B86" s="19" t="s">
        <v>568</v>
      </c>
      <c r="C86" s="17" t="s">
        <v>29</v>
      </c>
      <c r="D86" s="39" t="s">
        <v>569</v>
      </c>
      <c r="E86" s="18" t="s">
        <v>27</v>
      </c>
      <c r="F86" s="40">
        <v>60</v>
      </c>
      <c r="G86" s="40">
        <f>CPU!J483</f>
        <v>37.659999999999997</v>
      </c>
      <c r="H86" s="40">
        <f t="shared" si="15"/>
        <v>48.51</v>
      </c>
      <c r="I86" s="40">
        <f t="shared" si="21"/>
        <v>2910.6</v>
      </c>
      <c r="J86" s="41">
        <f>I86 / H127</f>
        <v>5.2767846313692924E-3</v>
      </c>
      <c r="K86" s="38">
        <f t="shared" si="20"/>
        <v>2259.6</v>
      </c>
      <c r="L86" s="188">
        <f t="shared" si="17"/>
        <v>52.381098000000001</v>
      </c>
      <c r="M86" s="189">
        <f t="shared" si="18"/>
        <v>3142.86</v>
      </c>
    </row>
    <row r="87" spans="1:13" ht="30" customHeight="1">
      <c r="A87" s="17" t="s">
        <v>646</v>
      </c>
      <c r="B87" s="19" t="s">
        <v>349</v>
      </c>
      <c r="C87" s="17" t="s">
        <v>29</v>
      </c>
      <c r="D87" s="39" t="s">
        <v>570</v>
      </c>
      <c r="E87" s="18" t="s">
        <v>27</v>
      </c>
      <c r="F87" s="40">
        <v>150</v>
      </c>
      <c r="G87" s="40">
        <f>CPU!J491</f>
        <v>55.25</v>
      </c>
      <c r="H87" s="40">
        <f t="shared" si="15"/>
        <v>71.17</v>
      </c>
      <c r="I87" s="40">
        <f t="shared" si="21"/>
        <v>10675.5</v>
      </c>
      <c r="J87" s="41">
        <f>I87 / H127</f>
        <v>1.9354193064035897E-2</v>
      </c>
      <c r="K87" s="38">
        <f t="shared" si="20"/>
        <v>8287.5</v>
      </c>
      <c r="L87" s="188">
        <f t="shared" si="17"/>
        <v>76.849366000000003</v>
      </c>
      <c r="M87" s="189">
        <f t="shared" si="18"/>
        <v>11527.4</v>
      </c>
    </row>
    <row r="88" spans="1:13" ht="30" customHeight="1">
      <c r="A88" s="17" t="s">
        <v>647</v>
      </c>
      <c r="B88" s="19" t="s">
        <v>571</v>
      </c>
      <c r="C88" s="17" t="s">
        <v>29</v>
      </c>
      <c r="D88" s="39" t="s">
        <v>572</v>
      </c>
      <c r="E88" s="18" t="s">
        <v>32</v>
      </c>
      <c r="F88" s="40">
        <v>100</v>
      </c>
      <c r="G88" s="40">
        <f>CPU!J500</f>
        <v>7.67</v>
      </c>
      <c r="H88" s="40">
        <f t="shared" si="15"/>
        <v>9.8800000000000008</v>
      </c>
      <c r="I88" s="40">
        <f t="shared" si="21"/>
        <v>988</v>
      </c>
      <c r="J88" s="41">
        <f>I88 / H127</f>
        <v>1.7911987960533432E-3</v>
      </c>
      <c r="K88" s="38">
        <f t="shared" si="20"/>
        <v>767</v>
      </c>
      <c r="L88" s="188">
        <f t="shared" si="17"/>
        <v>10.668424000000002</v>
      </c>
      <c r="M88" s="189">
        <f t="shared" si="18"/>
        <v>1066.8399999999999</v>
      </c>
    </row>
    <row r="89" spans="1:13" s="16" customFormat="1" ht="21" customHeight="1">
      <c r="A89" s="33" t="s">
        <v>297</v>
      </c>
      <c r="B89" s="34"/>
      <c r="C89" s="33"/>
      <c r="D89" s="33" t="s">
        <v>648</v>
      </c>
      <c r="E89" s="35"/>
      <c r="F89" s="36"/>
      <c r="G89" s="33"/>
      <c r="H89" s="33"/>
      <c r="I89" s="36">
        <f>SUM(I90:I94)</f>
        <v>12925</v>
      </c>
      <c r="J89" s="37">
        <f>I89 / H127</f>
        <v>2.3432433642701884E-2</v>
      </c>
      <c r="K89" s="38">
        <f t="shared" si="20"/>
        <v>0</v>
      </c>
      <c r="L89" s="188"/>
      <c r="M89" s="189"/>
    </row>
    <row r="90" spans="1:13" ht="21" customHeight="1">
      <c r="A90" s="17" t="s">
        <v>491</v>
      </c>
      <c r="B90" s="19" t="s">
        <v>649</v>
      </c>
      <c r="C90" s="17" t="s">
        <v>29</v>
      </c>
      <c r="D90" s="39" t="s">
        <v>650</v>
      </c>
      <c r="E90" s="18" t="s">
        <v>31</v>
      </c>
      <c r="F90" s="40">
        <v>20.97</v>
      </c>
      <c r="G90" s="40">
        <f>CPU!J509</f>
        <v>95.49</v>
      </c>
      <c r="H90" s="40">
        <f t="shared" si="15"/>
        <v>123.01</v>
      </c>
      <c r="I90" s="40">
        <f t="shared" ref="I90:I99" si="22">TRUNC(F90 * H90, 2)</f>
        <v>2579.5100000000002</v>
      </c>
      <c r="J90" s="41">
        <f>I90 / H127</f>
        <v>4.6765336097242503E-3</v>
      </c>
      <c r="K90" s="38">
        <f t="shared" si="20"/>
        <v>2002.42</v>
      </c>
      <c r="L90" s="188">
        <f t="shared" si="17"/>
        <v>132.82619800000001</v>
      </c>
      <c r="M90" s="189">
        <f t="shared" si="18"/>
        <v>2785.36</v>
      </c>
    </row>
    <row r="91" spans="1:13" ht="21" customHeight="1">
      <c r="A91" s="17" t="s">
        <v>493</v>
      </c>
      <c r="B91" s="19" t="s">
        <v>307</v>
      </c>
      <c r="C91" s="17" t="s">
        <v>29</v>
      </c>
      <c r="D91" s="39" t="s">
        <v>651</v>
      </c>
      <c r="E91" s="18" t="s">
        <v>31</v>
      </c>
      <c r="F91" s="40">
        <v>7</v>
      </c>
      <c r="G91" s="40">
        <f>CPU!J519</f>
        <v>73.599999999999994</v>
      </c>
      <c r="H91" s="40">
        <f t="shared" si="15"/>
        <v>94.81</v>
      </c>
      <c r="I91" s="40">
        <f t="shared" si="22"/>
        <v>663.67</v>
      </c>
      <c r="J91" s="41">
        <f>I91 / H127</f>
        <v>1.2032033451181399E-3</v>
      </c>
      <c r="K91" s="38">
        <f t="shared" si="20"/>
        <v>515.20000000000005</v>
      </c>
      <c r="L91" s="188">
        <f t="shared" si="17"/>
        <v>102.37583800000002</v>
      </c>
      <c r="M91" s="189">
        <f t="shared" si="18"/>
        <v>716.63</v>
      </c>
    </row>
    <row r="92" spans="1:13" ht="21" customHeight="1">
      <c r="A92" s="17" t="s">
        <v>496</v>
      </c>
      <c r="B92" s="19" t="s">
        <v>652</v>
      </c>
      <c r="C92" s="17" t="s">
        <v>29</v>
      </c>
      <c r="D92" s="39" t="s">
        <v>653</v>
      </c>
      <c r="E92" s="18" t="s">
        <v>31</v>
      </c>
      <c r="F92" s="40">
        <v>3.1480000000000001</v>
      </c>
      <c r="G92" s="40">
        <f>CPU!J528</f>
        <v>741.52</v>
      </c>
      <c r="H92" s="40">
        <f t="shared" si="15"/>
        <v>955.22</v>
      </c>
      <c r="I92" s="40">
        <f t="shared" si="22"/>
        <v>3007.03</v>
      </c>
      <c r="J92" s="41">
        <f>I92 / H127</f>
        <v>5.4516078094091949E-3</v>
      </c>
      <c r="K92" s="38">
        <f t="shared" si="20"/>
        <v>2334.3000000000002</v>
      </c>
      <c r="L92" s="188">
        <f t="shared" si="17"/>
        <v>1031.4465560000001</v>
      </c>
      <c r="M92" s="189">
        <f t="shared" si="18"/>
        <v>3246.99</v>
      </c>
    </row>
    <row r="93" spans="1:13" ht="21" customHeight="1">
      <c r="A93" s="17" t="s">
        <v>498</v>
      </c>
      <c r="B93" s="19" t="s">
        <v>654</v>
      </c>
      <c r="C93" s="17" t="s">
        <v>29</v>
      </c>
      <c r="D93" s="39" t="s">
        <v>655</v>
      </c>
      <c r="E93" s="18" t="s">
        <v>27</v>
      </c>
      <c r="F93" s="40">
        <v>31.48</v>
      </c>
      <c r="G93" s="40">
        <f>CPU!J535</f>
        <v>53.3</v>
      </c>
      <c r="H93" s="40">
        <f t="shared" si="15"/>
        <v>68.66</v>
      </c>
      <c r="I93" s="40">
        <f t="shared" si="22"/>
        <v>2161.41</v>
      </c>
      <c r="J93" s="41">
        <f>I93 / H127</f>
        <v>3.9185374390462106E-3</v>
      </c>
      <c r="K93" s="38">
        <f t="shared" si="20"/>
        <v>1677.88</v>
      </c>
      <c r="L93" s="188">
        <f t="shared" si="17"/>
        <v>74.139068000000009</v>
      </c>
      <c r="M93" s="189">
        <f t="shared" si="18"/>
        <v>2333.89</v>
      </c>
    </row>
    <row r="94" spans="1:13" ht="21" customHeight="1">
      <c r="A94" s="17" t="s">
        <v>501</v>
      </c>
      <c r="B94" s="19" t="s">
        <v>656</v>
      </c>
      <c r="C94" s="17" t="s">
        <v>29</v>
      </c>
      <c r="D94" s="39" t="s">
        <v>657</v>
      </c>
      <c r="E94" s="18" t="s">
        <v>27</v>
      </c>
      <c r="F94" s="40">
        <v>209.73</v>
      </c>
      <c r="G94" s="40">
        <f>CPU!J544</f>
        <v>16.71</v>
      </c>
      <c r="H94" s="40">
        <f t="shared" si="15"/>
        <v>21.52</v>
      </c>
      <c r="I94" s="40">
        <f t="shared" si="22"/>
        <v>4513.38</v>
      </c>
      <c r="J94" s="41">
        <f>I94 / H127</f>
        <v>8.1825514394040875E-3</v>
      </c>
      <c r="K94" s="38">
        <f t="shared" si="20"/>
        <v>3504.58</v>
      </c>
      <c r="L94" s="188">
        <f t="shared" si="17"/>
        <v>23.237296000000001</v>
      </c>
      <c r="M94" s="189">
        <f t="shared" si="18"/>
        <v>4873.55</v>
      </c>
    </row>
    <row r="95" spans="1:13" s="16" customFormat="1" ht="21" customHeight="1">
      <c r="A95" s="33" t="s">
        <v>298</v>
      </c>
      <c r="B95" s="34"/>
      <c r="C95" s="33"/>
      <c r="D95" s="33" t="s">
        <v>658</v>
      </c>
      <c r="E95" s="35"/>
      <c r="F95" s="36"/>
      <c r="G95" s="33"/>
      <c r="H95" s="33"/>
      <c r="I95" s="36">
        <f>SUM(I96:I99)</f>
        <v>42996.800000000003</v>
      </c>
      <c r="J95" s="37">
        <f>I95 / H127</f>
        <v>7.7951231168164367E-2</v>
      </c>
      <c r="K95" s="38">
        <f t="shared" si="20"/>
        <v>0</v>
      </c>
      <c r="L95" s="188"/>
      <c r="M95" s="189"/>
    </row>
    <row r="96" spans="1:13" ht="21" customHeight="1">
      <c r="A96" s="17" t="s">
        <v>504</v>
      </c>
      <c r="B96" s="19" t="s">
        <v>659</v>
      </c>
      <c r="C96" s="17" t="s">
        <v>29</v>
      </c>
      <c r="D96" s="39" t="s">
        <v>660</v>
      </c>
      <c r="E96" s="18" t="s">
        <v>32</v>
      </c>
      <c r="F96" s="40">
        <v>60</v>
      </c>
      <c r="G96" s="40">
        <f>CPU!J551</f>
        <v>12.32</v>
      </c>
      <c r="H96" s="40">
        <f t="shared" si="15"/>
        <v>15.87</v>
      </c>
      <c r="I96" s="40">
        <f t="shared" si="22"/>
        <v>952.2</v>
      </c>
      <c r="J96" s="41">
        <f>I96 / H127</f>
        <v>1.7262950340101149E-3</v>
      </c>
      <c r="K96" s="38">
        <f t="shared" si="20"/>
        <v>739.2</v>
      </c>
      <c r="L96" s="188">
        <f t="shared" si="17"/>
        <v>17.136426</v>
      </c>
      <c r="M96" s="189">
        <f t="shared" si="18"/>
        <v>1028.18</v>
      </c>
    </row>
    <row r="97" spans="1:13" ht="21" customHeight="1">
      <c r="A97" s="17" t="s">
        <v>505</v>
      </c>
      <c r="B97" s="19" t="s">
        <v>661</v>
      </c>
      <c r="C97" s="17" t="s">
        <v>29</v>
      </c>
      <c r="D97" s="39" t="s">
        <v>662</v>
      </c>
      <c r="E97" s="18" t="s">
        <v>32</v>
      </c>
      <c r="F97" s="40">
        <v>60</v>
      </c>
      <c r="G97" s="40">
        <f>CPU!J561</f>
        <v>38.22</v>
      </c>
      <c r="H97" s="40">
        <f t="shared" si="15"/>
        <v>49.23</v>
      </c>
      <c r="I97" s="40">
        <f t="shared" si="22"/>
        <v>2953.8</v>
      </c>
      <c r="J97" s="41">
        <f>I97 / H127</f>
        <v>5.3551042548404511E-3</v>
      </c>
      <c r="K97" s="38">
        <f t="shared" si="20"/>
        <v>2293.1999999999998</v>
      </c>
      <c r="L97" s="188">
        <f t="shared" si="17"/>
        <v>53.158554000000002</v>
      </c>
      <c r="M97" s="189">
        <f t="shared" si="18"/>
        <v>3189.51</v>
      </c>
    </row>
    <row r="98" spans="1:13" ht="21" customHeight="1">
      <c r="A98" s="17" t="s">
        <v>663</v>
      </c>
      <c r="B98" s="19" t="s">
        <v>664</v>
      </c>
      <c r="C98" s="17" t="s">
        <v>29</v>
      </c>
      <c r="D98" s="39" t="s">
        <v>665</v>
      </c>
      <c r="E98" s="18" t="s">
        <v>27</v>
      </c>
      <c r="F98" s="40">
        <v>230</v>
      </c>
      <c r="G98" s="40">
        <f>CPU!J573</f>
        <v>97.62</v>
      </c>
      <c r="H98" s="40">
        <f t="shared" si="15"/>
        <v>125.75</v>
      </c>
      <c r="I98" s="40">
        <f t="shared" si="22"/>
        <v>28922.5</v>
      </c>
      <c r="J98" s="41">
        <f>I98 / H127</f>
        <v>5.2435169209365202E-2</v>
      </c>
      <c r="K98" s="38">
        <f t="shared" si="20"/>
        <v>22452.6</v>
      </c>
      <c r="L98" s="188">
        <f t="shared" si="17"/>
        <v>135.78485000000001</v>
      </c>
      <c r="M98" s="189">
        <f t="shared" si="18"/>
        <v>31230.51</v>
      </c>
    </row>
    <row r="99" spans="1:13" ht="21" customHeight="1">
      <c r="A99" s="17" t="s">
        <v>666</v>
      </c>
      <c r="B99" s="19" t="s">
        <v>667</v>
      </c>
      <c r="C99" s="17" t="s">
        <v>29</v>
      </c>
      <c r="D99" s="39" t="s">
        <v>668</v>
      </c>
      <c r="E99" s="18" t="s">
        <v>27</v>
      </c>
      <c r="F99" s="40">
        <v>230</v>
      </c>
      <c r="G99" s="40">
        <f>CPU!J582</f>
        <v>34.32</v>
      </c>
      <c r="H99" s="40">
        <f t="shared" si="15"/>
        <v>44.21</v>
      </c>
      <c r="I99" s="40">
        <f t="shared" si="22"/>
        <v>10168.299999999999</v>
      </c>
      <c r="J99" s="41">
        <f>I99 / H127</f>
        <v>1.8434662669948591E-2</v>
      </c>
      <c r="K99" s="38">
        <f t="shared" si="20"/>
        <v>7893.6</v>
      </c>
      <c r="L99" s="188">
        <f t="shared" si="17"/>
        <v>47.737958000000006</v>
      </c>
      <c r="M99" s="189">
        <f t="shared" si="18"/>
        <v>10979.73</v>
      </c>
    </row>
    <row r="100" spans="1:13" s="16" customFormat="1" ht="21" customHeight="1">
      <c r="A100" s="33" t="s">
        <v>299</v>
      </c>
      <c r="B100" s="34"/>
      <c r="C100" s="33"/>
      <c r="D100" s="33" t="s">
        <v>441</v>
      </c>
      <c r="E100" s="35"/>
      <c r="F100" s="36"/>
      <c r="G100" s="33"/>
      <c r="H100" s="33"/>
      <c r="I100" s="36">
        <f>I101+I106+I109+I111+I116</f>
        <v>114453.02000000002</v>
      </c>
      <c r="J100" s="37">
        <f>I100 / H127</f>
        <v>0.20749808869298506</v>
      </c>
      <c r="K100" s="38">
        <f t="shared" si="20"/>
        <v>0</v>
      </c>
      <c r="L100" s="188"/>
      <c r="M100" s="189"/>
    </row>
    <row r="101" spans="1:13" s="16" customFormat="1" ht="21" customHeight="1">
      <c r="A101" s="33" t="s">
        <v>300</v>
      </c>
      <c r="B101" s="34"/>
      <c r="C101" s="33"/>
      <c r="D101" s="33" t="s">
        <v>669</v>
      </c>
      <c r="E101" s="35"/>
      <c r="F101" s="36"/>
      <c r="G101" s="33"/>
      <c r="H101" s="33"/>
      <c r="I101" s="36">
        <f>SUM(I102:I105)</f>
        <v>56564.480000000003</v>
      </c>
      <c r="J101" s="37">
        <f>I101 / H127</f>
        <v>0.10254881424633949</v>
      </c>
      <c r="K101" s="38">
        <f t="shared" si="20"/>
        <v>0</v>
      </c>
      <c r="L101" s="188"/>
      <c r="M101" s="189"/>
    </row>
    <row r="102" spans="1:13" ht="21" customHeight="1">
      <c r="A102" s="17" t="s">
        <v>525</v>
      </c>
      <c r="B102" s="19" t="s">
        <v>670</v>
      </c>
      <c r="C102" s="17" t="s">
        <v>29</v>
      </c>
      <c r="D102" s="39" t="s">
        <v>671</v>
      </c>
      <c r="E102" s="18" t="s">
        <v>27</v>
      </c>
      <c r="F102" s="40">
        <v>2692.94</v>
      </c>
      <c r="G102" s="40">
        <f>CPU!J593</f>
        <v>1.76</v>
      </c>
      <c r="H102" s="40">
        <f t="shared" si="15"/>
        <v>2.2599999999999998</v>
      </c>
      <c r="I102" s="40">
        <f t="shared" ref="I102:I121" si="23">TRUNC(F102 * H102, 2)</f>
        <v>6086.04</v>
      </c>
      <c r="J102" s="41">
        <f>I102 / H127</f>
        <v>1.1033712065518713E-2</v>
      </c>
      <c r="K102" s="38">
        <f t="shared" si="20"/>
        <v>4739.57</v>
      </c>
      <c r="L102" s="188">
        <f t="shared" si="17"/>
        <v>2.4403480000000002</v>
      </c>
      <c r="M102" s="189">
        <f t="shared" si="18"/>
        <v>6571.71</v>
      </c>
    </row>
    <row r="103" spans="1:13" ht="21" customHeight="1">
      <c r="A103" s="17" t="s">
        <v>528</v>
      </c>
      <c r="B103" s="19" t="s">
        <v>573</v>
      </c>
      <c r="C103" s="17" t="s">
        <v>29</v>
      </c>
      <c r="D103" s="39" t="s">
        <v>574</v>
      </c>
      <c r="E103" s="18" t="s">
        <v>27</v>
      </c>
      <c r="F103" s="40">
        <v>1322.26</v>
      </c>
      <c r="G103" s="40">
        <f>CPU!J599</f>
        <v>3.36</v>
      </c>
      <c r="H103" s="40">
        <f t="shared" si="15"/>
        <v>4.32</v>
      </c>
      <c r="I103" s="40">
        <f t="shared" si="23"/>
        <v>5712.16</v>
      </c>
      <c r="J103" s="41">
        <f>I103 / H127</f>
        <v>1.035588473164379E-2</v>
      </c>
      <c r="K103" s="38">
        <f t="shared" si="20"/>
        <v>4442.79</v>
      </c>
      <c r="L103" s="188">
        <f t="shared" si="17"/>
        <v>4.6647360000000004</v>
      </c>
      <c r="M103" s="189">
        <f t="shared" si="18"/>
        <v>6167.99</v>
      </c>
    </row>
    <row r="104" spans="1:13" ht="21" customHeight="1">
      <c r="A104" s="17" t="s">
        <v>672</v>
      </c>
      <c r="B104" s="19" t="s">
        <v>575</v>
      </c>
      <c r="C104" s="17" t="s">
        <v>29</v>
      </c>
      <c r="D104" s="39" t="s">
        <v>576</v>
      </c>
      <c r="E104" s="18" t="s">
        <v>27</v>
      </c>
      <c r="F104" s="40">
        <v>638.78</v>
      </c>
      <c r="G104" s="40">
        <f>CPU!J606</f>
        <v>27.75</v>
      </c>
      <c r="H104" s="40">
        <f t="shared" si="15"/>
        <v>35.74</v>
      </c>
      <c r="I104" s="40">
        <f t="shared" si="23"/>
        <v>22829.99</v>
      </c>
      <c r="J104" s="41">
        <f>I104 / H127</f>
        <v>4.1389727329868287E-2</v>
      </c>
      <c r="K104" s="38">
        <f t="shared" si="20"/>
        <v>17726.14</v>
      </c>
      <c r="L104" s="188">
        <f t="shared" si="17"/>
        <v>38.592052000000002</v>
      </c>
      <c r="M104" s="189">
        <f t="shared" si="18"/>
        <v>24651.83</v>
      </c>
    </row>
    <row r="105" spans="1:13" ht="21" customHeight="1">
      <c r="A105" s="17" t="s">
        <v>673</v>
      </c>
      <c r="B105" s="19" t="s">
        <v>34</v>
      </c>
      <c r="C105" s="17" t="s">
        <v>29</v>
      </c>
      <c r="D105" s="39" t="s">
        <v>577</v>
      </c>
      <c r="E105" s="18" t="s">
        <v>27</v>
      </c>
      <c r="F105" s="40">
        <v>1322.26</v>
      </c>
      <c r="G105" s="40">
        <f>CPU!J614</f>
        <v>12.88</v>
      </c>
      <c r="H105" s="40">
        <f t="shared" si="15"/>
        <v>16.59</v>
      </c>
      <c r="I105" s="40">
        <f t="shared" si="23"/>
        <v>21936.29</v>
      </c>
      <c r="J105" s="41">
        <f>I105 / H127</f>
        <v>3.9769490119308699E-2</v>
      </c>
      <c r="K105" s="38">
        <f t="shared" si="20"/>
        <v>17030.7</v>
      </c>
      <c r="L105" s="188">
        <f t="shared" si="17"/>
        <v>17.913882000000001</v>
      </c>
      <c r="M105" s="189">
        <f t="shared" si="18"/>
        <v>23686.799999999999</v>
      </c>
    </row>
    <row r="106" spans="1:13" s="16" customFormat="1" ht="21" customHeight="1">
      <c r="A106" s="33" t="s">
        <v>531</v>
      </c>
      <c r="B106" s="34"/>
      <c r="C106" s="33"/>
      <c r="D106" s="33" t="s">
        <v>674</v>
      </c>
      <c r="E106" s="35"/>
      <c r="F106" s="36"/>
      <c r="G106" s="33"/>
      <c r="H106" s="33"/>
      <c r="I106" s="36">
        <f>SUM(I107:I108)</f>
        <v>27526.78</v>
      </c>
      <c r="J106" s="37">
        <f>I106 / H127</f>
        <v>4.990479270771786E-2</v>
      </c>
      <c r="K106" s="38">
        <f t="shared" si="20"/>
        <v>0</v>
      </c>
      <c r="L106" s="188"/>
      <c r="M106" s="189"/>
    </row>
    <row r="107" spans="1:13" ht="21" customHeight="1">
      <c r="A107" s="17" t="s">
        <v>533</v>
      </c>
      <c r="B107" s="19" t="s">
        <v>675</v>
      </c>
      <c r="C107" s="17" t="s">
        <v>29</v>
      </c>
      <c r="D107" s="39" t="s">
        <v>676</v>
      </c>
      <c r="E107" s="18" t="s">
        <v>27</v>
      </c>
      <c r="F107" s="40">
        <v>732.68</v>
      </c>
      <c r="G107" s="40">
        <f>CPU!J621</f>
        <v>18.16</v>
      </c>
      <c r="H107" s="40">
        <f t="shared" si="15"/>
        <v>23.39</v>
      </c>
      <c r="I107" s="40">
        <f t="shared" si="23"/>
        <v>17137.38</v>
      </c>
      <c r="J107" s="41">
        <f>I107 / H127</f>
        <v>3.1069285853753688E-2</v>
      </c>
      <c r="K107" s="38">
        <f t="shared" si="20"/>
        <v>13305.46</v>
      </c>
      <c r="L107" s="188">
        <f t="shared" si="17"/>
        <v>25.256522000000004</v>
      </c>
      <c r="M107" s="189">
        <f t="shared" si="18"/>
        <v>18504.939999999999</v>
      </c>
    </row>
    <row r="108" spans="1:13" ht="21" customHeight="1">
      <c r="A108" s="17" t="s">
        <v>536</v>
      </c>
      <c r="B108" s="19" t="s">
        <v>677</v>
      </c>
      <c r="C108" s="17" t="s">
        <v>29</v>
      </c>
      <c r="D108" s="39" t="s">
        <v>678</v>
      </c>
      <c r="E108" s="18" t="s">
        <v>27</v>
      </c>
      <c r="F108" s="40">
        <v>732.68</v>
      </c>
      <c r="G108" s="40">
        <f>CPU!J629</f>
        <v>11.01</v>
      </c>
      <c r="H108" s="40">
        <f t="shared" si="15"/>
        <v>14.18</v>
      </c>
      <c r="I108" s="40">
        <f t="shared" si="23"/>
        <v>10389.4</v>
      </c>
      <c r="J108" s="41">
        <f>I108 / H127</f>
        <v>1.8835506853964172E-2</v>
      </c>
      <c r="K108" s="38">
        <f t="shared" si="20"/>
        <v>8066.8</v>
      </c>
      <c r="L108" s="188">
        <f t="shared" si="17"/>
        <v>15.311564000000001</v>
      </c>
      <c r="M108" s="189">
        <f t="shared" si="18"/>
        <v>11218.47</v>
      </c>
    </row>
    <row r="109" spans="1:13" s="16" customFormat="1" ht="21" customHeight="1">
      <c r="A109" s="33" t="s">
        <v>547</v>
      </c>
      <c r="B109" s="34"/>
      <c r="C109" s="33"/>
      <c r="D109" s="33" t="s">
        <v>679</v>
      </c>
      <c r="E109" s="35"/>
      <c r="F109" s="36"/>
      <c r="G109" s="33"/>
      <c r="H109" s="33"/>
      <c r="I109" s="36">
        <f>I110</f>
        <v>7362.52</v>
      </c>
      <c r="J109" s="37">
        <f>I109 / H127</f>
        <v>1.3347911902751681E-2</v>
      </c>
      <c r="K109" s="38">
        <f t="shared" si="20"/>
        <v>0</v>
      </c>
      <c r="L109" s="188"/>
      <c r="M109" s="189"/>
    </row>
    <row r="110" spans="1:13" ht="21" customHeight="1">
      <c r="A110" s="17" t="s">
        <v>548</v>
      </c>
      <c r="B110" s="19" t="s">
        <v>680</v>
      </c>
      <c r="C110" s="17" t="s">
        <v>29</v>
      </c>
      <c r="D110" s="39" t="s">
        <v>681</v>
      </c>
      <c r="E110" s="18" t="s">
        <v>27</v>
      </c>
      <c r="F110" s="40">
        <v>638</v>
      </c>
      <c r="G110" s="40">
        <f>CPU!J636</f>
        <v>8.9600000000000009</v>
      </c>
      <c r="H110" s="40">
        <f t="shared" si="15"/>
        <v>11.54</v>
      </c>
      <c r="I110" s="40">
        <f t="shared" si="23"/>
        <v>7362.52</v>
      </c>
      <c r="J110" s="41">
        <f>I110 / H127</f>
        <v>1.3347911902751681E-2</v>
      </c>
      <c r="K110" s="38">
        <f t="shared" si="20"/>
        <v>5716.48</v>
      </c>
      <c r="L110" s="188">
        <f t="shared" si="17"/>
        <v>12.460891999999999</v>
      </c>
      <c r="M110" s="189">
        <f t="shared" si="18"/>
        <v>7950.04</v>
      </c>
    </row>
    <row r="111" spans="1:13" s="16" customFormat="1" ht="21" customHeight="1">
      <c r="A111" s="33" t="s">
        <v>682</v>
      </c>
      <c r="B111" s="34"/>
      <c r="C111" s="33"/>
      <c r="D111" s="33" t="s">
        <v>467</v>
      </c>
      <c r="E111" s="35"/>
      <c r="F111" s="36"/>
      <c r="G111" s="33"/>
      <c r="H111" s="33"/>
      <c r="I111" s="36">
        <f>SUM(I112:I115)</f>
        <v>18097.370000000003</v>
      </c>
      <c r="J111" s="37">
        <f>I111 / H127</f>
        <v>3.2809703801348074E-2</v>
      </c>
      <c r="K111" s="38">
        <f t="shared" si="20"/>
        <v>0</v>
      </c>
      <c r="L111" s="188"/>
      <c r="M111" s="189"/>
    </row>
    <row r="112" spans="1:13" ht="21" customHeight="1">
      <c r="A112" s="17" t="s">
        <v>683</v>
      </c>
      <c r="B112" s="19" t="s">
        <v>578</v>
      </c>
      <c r="C112" s="17" t="s">
        <v>29</v>
      </c>
      <c r="D112" s="39" t="s">
        <v>579</v>
      </c>
      <c r="E112" s="18" t="s">
        <v>27</v>
      </c>
      <c r="F112" s="40">
        <v>257.60000000000002</v>
      </c>
      <c r="G112" s="40">
        <f>CPU!J643</f>
        <v>21.06</v>
      </c>
      <c r="H112" s="40">
        <f t="shared" si="15"/>
        <v>27.12</v>
      </c>
      <c r="I112" s="40">
        <f t="shared" si="23"/>
        <v>6986.11</v>
      </c>
      <c r="J112" s="41">
        <f>I112 / H127</f>
        <v>1.2665497794631803E-2</v>
      </c>
      <c r="K112" s="38">
        <f t="shared" si="20"/>
        <v>5425.05</v>
      </c>
      <c r="L112" s="188">
        <f t="shared" si="17"/>
        <v>29.284176000000002</v>
      </c>
      <c r="M112" s="189">
        <f t="shared" si="18"/>
        <v>7543.6</v>
      </c>
    </row>
    <row r="113" spans="1:16" ht="21" customHeight="1">
      <c r="A113" s="17" t="s">
        <v>684</v>
      </c>
      <c r="B113" s="19" t="s">
        <v>580</v>
      </c>
      <c r="C113" s="17" t="s">
        <v>29</v>
      </c>
      <c r="D113" s="39" t="s">
        <v>581</v>
      </c>
      <c r="E113" s="18" t="s">
        <v>27</v>
      </c>
      <c r="F113" s="40">
        <v>257.60000000000002</v>
      </c>
      <c r="G113" s="40">
        <f>CPU!J651</f>
        <v>16.91</v>
      </c>
      <c r="H113" s="40">
        <f t="shared" si="15"/>
        <v>21.78</v>
      </c>
      <c r="I113" s="40">
        <f t="shared" si="23"/>
        <v>5610.52</v>
      </c>
      <c r="J113" s="41">
        <f>I113 / H127</f>
        <v>1.0171616061976927E-2</v>
      </c>
      <c r="K113" s="38">
        <f t="shared" si="20"/>
        <v>4356.01</v>
      </c>
      <c r="L113" s="188">
        <f t="shared" si="17"/>
        <v>23.518044000000003</v>
      </c>
      <c r="M113" s="189">
        <f t="shared" si="18"/>
        <v>6058.24</v>
      </c>
    </row>
    <row r="114" spans="1:16" ht="21" customHeight="1">
      <c r="A114" s="17" t="s">
        <v>685</v>
      </c>
      <c r="B114" s="19" t="s">
        <v>582</v>
      </c>
      <c r="C114" s="17" t="s">
        <v>29</v>
      </c>
      <c r="D114" s="39" t="s">
        <v>583</v>
      </c>
      <c r="E114" s="18" t="s">
        <v>27</v>
      </c>
      <c r="F114" s="40">
        <v>257.60000000000002</v>
      </c>
      <c r="G114" s="40">
        <f>CPU!J658</f>
        <v>14.48</v>
      </c>
      <c r="H114" s="40">
        <f t="shared" si="15"/>
        <v>18.649999999999999</v>
      </c>
      <c r="I114" s="40">
        <f t="shared" si="23"/>
        <v>4804.24</v>
      </c>
      <c r="J114" s="41">
        <f>I114 / H127</f>
        <v>8.7098673116916131E-3</v>
      </c>
      <c r="K114" s="38">
        <f t="shared" si="20"/>
        <v>3730.04</v>
      </c>
      <c r="L114" s="188">
        <f t="shared" si="17"/>
        <v>20.138269999999999</v>
      </c>
      <c r="M114" s="189">
        <f t="shared" si="18"/>
        <v>5187.6099999999997</v>
      </c>
    </row>
    <row r="115" spans="1:16" ht="21" customHeight="1">
      <c r="A115" s="17" t="s">
        <v>686</v>
      </c>
      <c r="B115" s="19" t="s">
        <v>687</v>
      </c>
      <c r="C115" s="17" t="s">
        <v>29</v>
      </c>
      <c r="D115" s="39" t="s">
        <v>688</v>
      </c>
      <c r="E115" s="18" t="s">
        <v>27</v>
      </c>
      <c r="F115" s="40">
        <v>54.8</v>
      </c>
      <c r="G115" s="40">
        <f>CPU!J665</f>
        <v>9.8699999999999992</v>
      </c>
      <c r="H115" s="40">
        <f t="shared" si="15"/>
        <v>12.71</v>
      </c>
      <c r="I115" s="40">
        <f t="shared" si="23"/>
        <v>696.5</v>
      </c>
      <c r="J115" s="41">
        <f>I115 / H127</f>
        <v>1.2627226330477262E-3</v>
      </c>
      <c r="K115" s="38">
        <f t="shared" si="20"/>
        <v>540.87</v>
      </c>
      <c r="L115" s="188">
        <f t="shared" si="17"/>
        <v>13.724258000000003</v>
      </c>
      <c r="M115" s="189">
        <f t="shared" si="18"/>
        <v>752.08</v>
      </c>
    </row>
    <row r="116" spans="1:16" s="16" customFormat="1" ht="21" customHeight="1">
      <c r="A116" s="33" t="s">
        <v>689</v>
      </c>
      <c r="B116" s="34"/>
      <c r="C116" s="33"/>
      <c r="D116" s="33" t="s">
        <v>690</v>
      </c>
      <c r="E116" s="35"/>
      <c r="F116" s="36"/>
      <c r="G116" s="33"/>
      <c r="H116" s="33"/>
      <c r="I116" s="36">
        <f>I117</f>
        <v>4901.87</v>
      </c>
      <c r="J116" s="37">
        <f>I116 / H127</f>
        <v>8.8868660348279359E-3</v>
      </c>
      <c r="K116" s="38">
        <f t="shared" si="20"/>
        <v>0</v>
      </c>
      <c r="L116" s="188"/>
      <c r="M116" s="189"/>
    </row>
    <row r="117" spans="1:16" ht="21" customHeight="1">
      <c r="A117" s="17" t="s">
        <v>691</v>
      </c>
      <c r="B117" s="19" t="s">
        <v>308</v>
      </c>
      <c r="C117" s="17" t="s">
        <v>29</v>
      </c>
      <c r="D117" s="39" t="s">
        <v>584</v>
      </c>
      <c r="E117" s="18" t="s">
        <v>27</v>
      </c>
      <c r="F117" s="40">
        <v>170.5</v>
      </c>
      <c r="G117" s="40">
        <f>CPU!J672</f>
        <v>22.32</v>
      </c>
      <c r="H117" s="40">
        <f t="shared" si="15"/>
        <v>28.75</v>
      </c>
      <c r="I117" s="40">
        <f t="shared" si="23"/>
        <v>4901.87</v>
      </c>
      <c r="J117" s="41">
        <f>I117 / H127</f>
        <v>8.8868660348279359E-3</v>
      </c>
      <c r="K117" s="38">
        <f t="shared" si="20"/>
        <v>3805.56</v>
      </c>
      <c r="L117" s="188">
        <f t="shared" si="17"/>
        <v>31.044250000000002</v>
      </c>
      <c r="M117" s="189">
        <f t="shared" si="18"/>
        <v>5293.04</v>
      </c>
    </row>
    <row r="118" spans="1:16" s="16" customFormat="1" ht="21" customHeight="1">
      <c r="A118" s="33" t="s">
        <v>301</v>
      </c>
      <c r="B118" s="34"/>
      <c r="C118" s="33"/>
      <c r="D118" s="33" t="s">
        <v>442</v>
      </c>
      <c r="E118" s="35"/>
      <c r="F118" s="36"/>
      <c r="G118" s="33"/>
      <c r="H118" s="33"/>
      <c r="I118" s="36">
        <f>SUM(I119:I121)</f>
        <v>4246.17</v>
      </c>
      <c r="J118" s="37">
        <f>I118 / H127</f>
        <v>7.6981119350585268E-3</v>
      </c>
      <c r="K118" s="38">
        <f t="shared" si="20"/>
        <v>0</v>
      </c>
      <c r="L118" s="188"/>
      <c r="M118" s="189"/>
    </row>
    <row r="119" spans="1:16" ht="21" customHeight="1">
      <c r="A119" s="17" t="s">
        <v>302</v>
      </c>
      <c r="B119" s="19" t="s">
        <v>310</v>
      </c>
      <c r="C119" s="17" t="s">
        <v>29</v>
      </c>
      <c r="D119" s="39" t="s">
        <v>585</v>
      </c>
      <c r="E119" s="18" t="s">
        <v>33</v>
      </c>
      <c r="F119" s="40">
        <v>45</v>
      </c>
      <c r="G119" s="40">
        <f>CPU!J679</f>
        <v>25.57</v>
      </c>
      <c r="H119" s="40">
        <f t="shared" si="15"/>
        <v>32.93</v>
      </c>
      <c r="I119" s="40">
        <f t="shared" si="23"/>
        <v>1481.85</v>
      </c>
      <c r="J119" s="41">
        <f>I119 / H127</f>
        <v>2.686526250942962E-3</v>
      </c>
      <c r="K119" s="38">
        <f t="shared" si="20"/>
        <v>1150.6500000000001</v>
      </c>
      <c r="L119" s="188">
        <f t="shared" si="17"/>
        <v>35.557814</v>
      </c>
      <c r="M119" s="189">
        <f t="shared" si="18"/>
        <v>1600.1</v>
      </c>
    </row>
    <row r="120" spans="1:16" ht="21" customHeight="1">
      <c r="A120" s="17" t="s">
        <v>303</v>
      </c>
      <c r="B120" s="19" t="s">
        <v>313</v>
      </c>
      <c r="C120" s="17" t="s">
        <v>26</v>
      </c>
      <c r="D120" s="39" t="s">
        <v>586</v>
      </c>
      <c r="E120" s="18" t="s">
        <v>33</v>
      </c>
      <c r="F120" s="40">
        <v>8</v>
      </c>
      <c r="G120" s="40">
        <f>CPU!J686</f>
        <v>31.02</v>
      </c>
      <c r="H120" s="40">
        <f t="shared" si="15"/>
        <v>39.950000000000003</v>
      </c>
      <c r="I120" s="40">
        <f t="shared" si="23"/>
        <v>319.60000000000002</v>
      </c>
      <c r="J120" s="41">
        <f>I120 / H127</f>
        <v>5.7942017734681028E-4</v>
      </c>
      <c r="K120" s="38">
        <f t="shared" si="20"/>
        <v>248.16</v>
      </c>
      <c r="L120" s="188">
        <f t="shared" si="17"/>
        <v>43.138010000000008</v>
      </c>
      <c r="M120" s="189">
        <f t="shared" si="18"/>
        <v>345.1</v>
      </c>
      <c r="P120" s="68"/>
    </row>
    <row r="121" spans="1:16" ht="21" customHeight="1">
      <c r="A121" s="17" t="s">
        <v>304</v>
      </c>
      <c r="B121" s="19" t="s">
        <v>587</v>
      </c>
      <c r="C121" s="17" t="s">
        <v>66</v>
      </c>
      <c r="D121" s="39" t="s">
        <v>588</v>
      </c>
      <c r="E121" s="18" t="s">
        <v>33</v>
      </c>
      <c r="F121" s="40">
        <v>8</v>
      </c>
      <c r="G121" s="40">
        <f>CPU!J693</f>
        <v>237.23</v>
      </c>
      <c r="H121" s="40">
        <f t="shared" si="15"/>
        <v>305.58999999999997</v>
      </c>
      <c r="I121" s="40">
        <f t="shared" si="23"/>
        <v>2444.7199999999998</v>
      </c>
      <c r="J121" s="41">
        <f>I121 / H127</f>
        <v>4.4321655067687538E-3</v>
      </c>
      <c r="K121" s="38">
        <f t="shared" si="20"/>
        <v>1897.84</v>
      </c>
      <c r="L121" s="188">
        <f t="shared" si="17"/>
        <v>329.97608200000002</v>
      </c>
      <c r="M121" s="189">
        <f t="shared" si="18"/>
        <v>2639.8</v>
      </c>
    </row>
    <row r="122" spans="1:16" s="16" customFormat="1" ht="21" customHeight="1">
      <c r="A122" s="33" t="s">
        <v>305</v>
      </c>
      <c r="B122" s="34"/>
      <c r="C122" s="33"/>
      <c r="D122" s="33" t="s">
        <v>278</v>
      </c>
      <c r="E122" s="35"/>
      <c r="F122" s="36"/>
      <c r="G122" s="33"/>
      <c r="H122" s="33"/>
      <c r="I122" s="36">
        <f>I123</f>
        <v>7068.79</v>
      </c>
      <c r="J122" s="37">
        <f>I122 / H127</f>
        <v>1.2815392851775215E-2</v>
      </c>
      <c r="K122" s="38">
        <f t="shared" si="20"/>
        <v>0</v>
      </c>
      <c r="L122" s="188"/>
      <c r="M122" s="189"/>
    </row>
    <row r="123" spans="1:16" ht="21" customHeight="1">
      <c r="A123" s="17" t="s">
        <v>306</v>
      </c>
      <c r="B123" s="19" t="s">
        <v>589</v>
      </c>
      <c r="C123" s="17" t="s">
        <v>29</v>
      </c>
      <c r="D123" s="39" t="s">
        <v>590</v>
      </c>
      <c r="E123" s="18" t="s">
        <v>27</v>
      </c>
      <c r="F123" s="40">
        <v>1118.48</v>
      </c>
      <c r="G123" s="40">
        <f>CPU!J701</f>
        <v>4.91</v>
      </c>
      <c r="H123" s="40">
        <f t="shared" si="15"/>
        <v>6.32</v>
      </c>
      <c r="I123" s="40">
        <f t="shared" ref="I123" si="24">TRUNC(F123 * H123, 2)</f>
        <v>7068.79</v>
      </c>
      <c r="J123" s="41">
        <f>I123 / H127</f>
        <v>1.2815392851775215E-2</v>
      </c>
      <c r="K123" s="38">
        <f t="shared" si="20"/>
        <v>5491.73</v>
      </c>
      <c r="L123" s="188">
        <f t="shared" si="17"/>
        <v>6.8243360000000006</v>
      </c>
      <c r="M123" s="189">
        <f t="shared" si="18"/>
        <v>7632.88</v>
      </c>
    </row>
    <row r="124" spans="1:16" ht="17.25" customHeight="1">
      <c r="A124" s="81"/>
      <c r="B124" s="81"/>
      <c r="C124" s="81"/>
      <c r="D124" s="81"/>
      <c r="E124" s="81"/>
      <c r="F124" s="82"/>
      <c r="G124" s="81"/>
      <c r="H124" s="81"/>
      <c r="I124" s="81"/>
      <c r="J124" s="81"/>
    </row>
    <row r="125" spans="1:16" ht="24" customHeight="1">
      <c r="A125" s="204" t="str">
        <f>ORCAMENTO!B17</f>
        <v>ANANINDEUA(PA), 17 DE ABRIL DE 2025</v>
      </c>
      <c r="B125" s="204"/>
      <c r="C125" s="204"/>
      <c r="D125" s="204"/>
      <c r="E125" s="83"/>
      <c r="F125" s="197" t="s">
        <v>11</v>
      </c>
      <c r="G125" s="197"/>
      <c r="H125" s="198">
        <f>SUM(K6:K123)</f>
        <v>428248.73999999993</v>
      </c>
      <c r="I125" s="198"/>
      <c r="J125" s="198"/>
      <c r="L125" s="188"/>
      <c r="M125" s="190">
        <f>TRUNC(H125/H126,2)*M126</f>
        <v>454682.63550600014</v>
      </c>
    </row>
    <row r="126" spans="1:16" ht="24" customHeight="1">
      <c r="A126" s="73"/>
      <c r="B126" s="73"/>
      <c r="C126" s="73"/>
      <c r="D126" s="74"/>
      <c r="E126" s="83"/>
      <c r="F126" s="197" t="s">
        <v>12</v>
      </c>
      <c r="G126" s="197"/>
      <c r="H126" s="198">
        <f>H127-H125</f>
        <v>123337.16000000021</v>
      </c>
      <c r="I126" s="198"/>
      <c r="J126" s="198"/>
      <c r="L126" s="188"/>
      <c r="M126" s="190">
        <f>TRUNC(H126/H127,2)*M127</f>
        <v>131032.45980000003</v>
      </c>
    </row>
    <row r="127" spans="1:16" ht="24" customHeight="1" thickBot="1">
      <c r="A127" s="197"/>
      <c r="B127" s="197"/>
      <c r="C127" s="197"/>
      <c r="D127" s="197"/>
      <c r="E127" s="197"/>
      <c r="F127" s="197" t="s">
        <v>13</v>
      </c>
      <c r="G127" s="197"/>
      <c r="H127" s="198">
        <f>ORCAMENTO!E19</f>
        <v>551585.90000000014</v>
      </c>
      <c r="I127" s="198"/>
      <c r="J127" s="198"/>
      <c r="L127" s="191"/>
      <c r="M127" s="192">
        <f>SUM(M7:M123)</f>
        <v>595602.09000000008</v>
      </c>
    </row>
    <row r="128" spans="1:16" ht="54.75" customHeight="1">
      <c r="A128" s="203"/>
      <c r="B128" s="203"/>
      <c r="C128" s="203"/>
      <c r="D128" s="203"/>
      <c r="E128" s="203"/>
      <c r="F128" s="203"/>
      <c r="G128" s="203"/>
      <c r="H128" s="203"/>
      <c r="I128" s="203"/>
      <c r="J128" s="203"/>
    </row>
    <row r="129" spans="1:11" ht="24" customHeight="1">
      <c r="A129" s="204" t="str">
        <f>ORCAMENTO!B21</f>
        <v>RIOL - Serviços de Construções LTDA.</v>
      </c>
      <c r="B129" s="204"/>
      <c r="C129" s="204"/>
      <c r="D129" s="204"/>
      <c r="E129" s="83"/>
      <c r="F129" s="75"/>
      <c r="G129" s="72"/>
      <c r="H129" s="72"/>
      <c r="I129" s="72"/>
      <c r="J129" s="72"/>
      <c r="K129" s="15"/>
    </row>
    <row r="130" spans="1:11" ht="24" customHeight="1">
      <c r="A130" s="204" t="str">
        <f>ORCAMENTO!B22</f>
        <v>CNPJ: 09.335.585/0001-75</v>
      </c>
      <c r="B130" s="204"/>
      <c r="C130" s="204"/>
      <c r="D130" s="204"/>
      <c r="E130" s="83"/>
      <c r="F130" s="75"/>
      <c r="G130" s="72"/>
      <c r="H130" s="72"/>
      <c r="I130" s="72"/>
      <c r="J130" s="72"/>
      <c r="K130" s="15"/>
    </row>
    <row r="131" spans="1:11" ht="15" customHeight="1">
      <c r="A131" s="85"/>
      <c r="B131" s="86"/>
      <c r="C131" s="87"/>
      <c r="D131" s="88"/>
      <c r="E131" s="89"/>
      <c r="K131" s="15"/>
    </row>
    <row r="132" spans="1:11" ht="21">
      <c r="B132" s="86"/>
    </row>
  </sheetData>
  <mergeCells count="22">
    <mergeCell ref="A128:J128"/>
    <mergeCell ref="A129:D129"/>
    <mergeCell ref="A130:D130"/>
    <mergeCell ref="A4:J4"/>
    <mergeCell ref="A125:D125"/>
    <mergeCell ref="F125:G125"/>
    <mergeCell ref="H125:J125"/>
    <mergeCell ref="F126:G126"/>
    <mergeCell ref="H126:J126"/>
    <mergeCell ref="L1:M1"/>
    <mergeCell ref="L2:M2"/>
    <mergeCell ref="A127:E127"/>
    <mergeCell ref="F127:G127"/>
    <mergeCell ref="H127:J127"/>
    <mergeCell ref="A1:J1"/>
    <mergeCell ref="E2:F2"/>
    <mergeCell ref="G2:H2"/>
    <mergeCell ref="I2:J2"/>
    <mergeCell ref="A3:D3"/>
    <mergeCell ref="E3:F3"/>
    <mergeCell ref="G3:H3"/>
    <mergeCell ref="I3:J3"/>
  </mergeCells>
  <printOptions horizontalCentered="1"/>
  <pageMargins left="0.39370078740157483" right="0.19685039370078741" top="0.39370078740157483" bottom="0.78740157480314965" header="0.39370078740157483" footer="0.39370078740157483"/>
  <pageSetup paperSize="9" scale="65" firstPageNumber="0" fitToHeight="8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zoomScaleNormal="100" workbookViewId="0">
      <selection activeCell="K8" sqref="K8"/>
    </sheetView>
  </sheetViews>
  <sheetFormatPr defaultColWidth="9" defaultRowHeight="14.4"/>
  <cols>
    <col min="1" max="1" width="8.59765625" style="15" customWidth="1"/>
    <col min="2" max="2" width="32.59765625" style="15" customWidth="1"/>
    <col min="3" max="3" width="25.5" style="15" customWidth="1"/>
    <col min="4" max="4" width="12.59765625" style="15" customWidth="1"/>
    <col min="5" max="5" width="13.8984375" style="15" customWidth="1"/>
    <col min="6" max="6" width="12.59765625" style="15" customWidth="1"/>
    <col min="7" max="7" width="9" style="15"/>
    <col min="8" max="8" width="13.8984375" style="15" customWidth="1"/>
    <col min="9" max="9" width="14" style="15" customWidth="1"/>
    <col min="10" max="16384" width="9" style="15"/>
  </cols>
  <sheetData>
    <row r="1" spans="1:10" ht="105" customHeight="1">
      <c r="A1" s="199"/>
      <c r="B1" s="199"/>
      <c r="C1" s="199"/>
      <c r="D1" s="199"/>
      <c r="E1" s="199"/>
      <c r="F1" s="199"/>
    </row>
    <row r="2" spans="1:10" ht="15" customHeight="1">
      <c r="A2" s="71" t="s">
        <v>0</v>
      </c>
      <c r="B2" s="16"/>
      <c r="C2" s="71" t="s">
        <v>1</v>
      </c>
      <c r="D2" s="90" t="s">
        <v>2</v>
      </c>
      <c r="E2" s="200" t="s">
        <v>3</v>
      </c>
      <c r="F2" s="200"/>
    </row>
    <row r="3" spans="1:10" ht="49.5" customHeight="1">
      <c r="A3" s="200" t="s">
        <v>591</v>
      </c>
      <c r="B3" s="200"/>
      <c r="C3" s="90" t="s">
        <v>953</v>
      </c>
      <c r="D3" s="91">
        <f>TRUNC(BDI!K37/100,4)</f>
        <v>0.28820000000000001</v>
      </c>
      <c r="E3" s="92" t="s">
        <v>277</v>
      </c>
      <c r="F3" s="90"/>
    </row>
    <row r="4" spans="1:10" ht="19.5" customHeight="1">
      <c r="A4" s="208" t="s">
        <v>4</v>
      </c>
      <c r="B4" s="208"/>
      <c r="C4" s="208"/>
      <c r="D4" s="208"/>
      <c r="E4" s="208"/>
      <c r="F4" s="208"/>
    </row>
    <row r="5" spans="1:10" ht="15.75" customHeight="1">
      <c r="A5" s="78" t="s">
        <v>5</v>
      </c>
      <c r="B5" s="209" t="s">
        <v>6</v>
      </c>
      <c r="C5" s="209"/>
      <c r="D5" s="209"/>
      <c r="E5" s="77" t="s">
        <v>7</v>
      </c>
      <c r="F5" s="77" t="s">
        <v>8</v>
      </c>
    </row>
    <row r="6" spans="1:10" ht="15.75" customHeight="1">
      <c r="A6" s="171" t="s">
        <v>24</v>
      </c>
      <c r="B6" s="172" t="s">
        <v>9</v>
      </c>
      <c r="C6" s="173"/>
      <c r="D6" s="174"/>
      <c r="E6" s="175">
        <f>ORCDET!I6</f>
        <v>46850.25</v>
      </c>
      <c r="F6" s="176">
        <f>ORCDET!J6</f>
        <v>8.4937359711334148E-2</v>
      </c>
      <c r="I6" s="61"/>
      <c r="J6" s="93"/>
    </row>
    <row r="7" spans="1:10" ht="15.75" customHeight="1">
      <c r="A7" s="171" t="s">
        <v>268</v>
      </c>
      <c r="B7" s="172" t="s">
        <v>438</v>
      </c>
      <c r="C7" s="173"/>
      <c r="D7" s="174"/>
      <c r="E7" s="175">
        <f>ORCDET!I10</f>
        <v>160102.78000000003</v>
      </c>
      <c r="F7" s="176">
        <f>ORCDET!J10</f>
        <v>0.29025901496031714</v>
      </c>
      <c r="I7" s="61"/>
      <c r="J7" s="93"/>
    </row>
    <row r="8" spans="1:10" ht="15.75" customHeight="1">
      <c r="A8" s="171" t="s">
        <v>269</v>
      </c>
      <c r="B8" s="172" t="s">
        <v>10</v>
      </c>
      <c r="C8" s="173"/>
      <c r="D8" s="174"/>
      <c r="E8" s="175">
        <f>ORCDET!I19</f>
        <v>23482.9</v>
      </c>
      <c r="F8" s="176">
        <f>ORCDET!J19</f>
        <v>4.2573423287288518E-2</v>
      </c>
      <c r="I8" s="61"/>
      <c r="J8" s="93"/>
    </row>
    <row r="9" spans="1:10" ht="15.75" customHeight="1">
      <c r="A9" s="171" t="s">
        <v>270</v>
      </c>
      <c r="B9" s="172" t="s">
        <v>385</v>
      </c>
      <c r="C9" s="173"/>
      <c r="D9" s="174"/>
      <c r="E9" s="175">
        <f>ORCDET!I32</f>
        <v>47915.86</v>
      </c>
      <c r="F9" s="176">
        <f>ORCDET!J32</f>
        <v>8.6869261886498531E-2</v>
      </c>
      <c r="I9" s="61"/>
      <c r="J9" s="93"/>
    </row>
    <row r="10" spans="1:10" ht="15.75" customHeight="1">
      <c r="A10" s="171" t="s">
        <v>271</v>
      </c>
      <c r="B10" s="172" t="s">
        <v>384</v>
      </c>
      <c r="C10" s="173"/>
      <c r="D10" s="174"/>
      <c r="E10" s="175">
        <f>ORCDET!I55</f>
        <v>42823.630000000005</v>
      </c>
      <c r="F10" s="176">
        <f>ORCDET!J55</f>
        <v>7.7637281881208331E-2</v>
      </c>
      <c r="I10" s="61"/>
      <c r="J10" s="93"/>
    </row>
    <row r="11" spans="1:10" ht="15.75" customHeight="1">
      <c r="A11" s="171" t="s">
        <v>272</v>
      </c>
      <c r="B11" s="172" t="s">
        <v>439</v>
      </c>
      <c r="C11" s="173"/>
      <c r="D11" s="174"/>
      <c r="E11" s="175">
        <f>ORCDET!I76</f>
        <v>29855.599999999999</v>
      </c>
      <c r="F11" s="176">
        <f>ORCDET!J76</f>
        <v>5.412683681725728E-2</v>
      </c>
      <c r="I11" s="61"/>
      <c r="J11" s="93"/>
    </row>
    <row r="12" spans="1:10" ht="15.75" customHeight="1">
      <c r="A12" s="171" t="s">
        <v>273</v>
      </c>
      <c r="B12" s="172" t="s">
        <v>440</v>
      </c>
      <c r="C12" s="173"/>
      <c r="D12" s="174"/>
      <c r="E12" s="175">
        <f>ORCDET!I82</f>
        <v>74786.899999999994</v>
      </c>
      <c r="F12" s="176">
        <f>ORCDET!J82</f>
        <v>0.13558522797627709</v>
      </c>
      <c r="I12" s="61"/>
      <c r="J12" s="93"/>
    </row>
    <row r="13" spans="1:10" ht="15.75" customHeight="1">
      <c r="A13" s="171" t="s">
        <v>274</v>
      </c>
      <c r="B13" s="172" t="s">
        <v>441</v>
      </c>
      <c r="C13" s="173"/>
      <c r="D13" s="174"/>
      <c r="E13" s="175">
        <f>ORCDET!I100</f>
        <v>114453.02000000002</v>
      </c>
      <c r="F13" s="176">
        <f>ORCDET!J100</f>
        <v>0.20749808869298506</v>
      </c>
      <c r="I13" s="61"/>
      <c r="J13" s="93"/>
    </row>
    <row r="14" spans="1:10" ht="15.75" customHeight="1">
      <c r="A14" s="171" t="s">
        <v>275</v>
      </c>
      <c r="B14" s="172" t="s">
        <v>442</v>
      </c>
      <c r="C14" s="173"/>
      <c r="D14" s="174"/>
      <c r="E14" s="175">
        <f>ORCDET!I118</f>
        <v>4246.17</v>
      </c>
      <c r="F14" s="176">
        <f>ORCDET!J118</f>
        <v>7.6981119350585268E-3</v>
      </c>
      <c r="I14" s="61"/>
      <c r="J14" s="93"/>
    </row>
    <row r="15" spans="1:10" ht="15.75" customHeight="1">
      <c r="A15" s="171" t="s">
        <v>276</v>
      </c>
      <c r="B15" s="172" t="s">
        <v>278</v>
      </c>
      <c r="C15" s="173"/>
      <c r="D15" s="174"/>
      <c r="E15" s="175">
        <f>ORCDET!I122</f>
        <v>7068.79</v>
      </c>
      <c r="F15" s="176">
        <f>ORCDET!J122</f>
        <v>1.2815392851775215E-2</v>
      </c>
      <c r="I15" s="61"/>
      <c r="J15" s="93"/>
    </row>
    <row r="16" spans="1:10" ht="24" customHeight="1">
      <c r="A16" s="94"/>
      <c r="B16" s="94"/>
      <c r="C16" s="94"/>
      <c r="D16" s="94"/>
      <c r="E16" s="95"/>
      <c r="F16" s="96"/>
      <c r="I16" s="61"/>
      <c r="J16" s="93"/>
    </row>
    <row r="17" spans="1:11" ht="15.75" customHeight="1">
      <c r="A17" s="97"/>
      <c r="B17" s="85" t="s">
        <v>954</v>
      </c>
      <c r="C17" s="97"/>
      <c r="D17" s="71" t="s">
        <v>11</v>
      </c>
      <c r="E17" s="84">
        <f>ORCDET!H125</f>
        <v>428248.73999999993</v>
      </c>
      <c r="H17" s="61"/>
      <c r="I17" s="93">
        <f>SUM(F6:F15)</f>
        <v>0.99999999999999978</v>
      </c>
      <c r="J17" s="93"/>
    </row>
    <row r="18" spans="1:11" ht="15.75" customHeight="1">
      <c r="A18" s="97"/>
      <c r="B18" s="206"/>
      <c r="C18" s="97"/>
      <c r="D18" s="71" t="s">
        <v>12</v>
      </c>
      <c r="E18" s="84">
        <f>ORCDET!H126</f>
        <v>123337.16000000021</v>
      </c>
      <c r="H18" s="62"/>
    </row>
    <row r="19" spans="1:11" ht="15.75" customHeight="1">
      <c r="A19" s="97"/>
      <c r="B19" s="206"/>
      <c r="C19" s="97"/>
      <c r="D19" s="71" t="s">
        <v>13</v>
      </c>
      <c r="E19" s="84">
        <f>SUM(E6:E15)</f>
        <v>551585.90000000014</v>
      </c>
      <c r="H19" s="62"/>
      <c r="I19" s="61"/>
    </row>
    <row r="20" spans="1:11" ht="36" customHeight="1">
      <c r="A20" s="16"/>
      <c r="B20" s="206"/>
      <c r="C20" s="16"/>
      <c r="D20" s="16"/>
      <c r="E20" s="16"/>
    </row>
    <row r="21" spans="1:11" ht="15.75" customHeight="1">
      <c r="A21" s="85"/>
      <c r="B21" s="85" t="s">
        <v>344</v>
      </c>
      <c r="C21" s="16"/>
      <c r="D21" s="16"/>
      <c r="E21" s="16"/>
      <c r="F21" s="16"/>
      <c r="H21" s="61"/>
      <c r="I21" s="207"/>
      <c r="J21" s="207"/>
      <c r="K21" s="207"/>
    </row>
    <row r="22" spans="1:11" ht="15.75" customHeight="1">
      <c r="A22" s="85"/>
      <c r="B22" s="85" t="s">
        <v>351</v>
      </c>
      <c r="C22" s="16"/>
      <c r="D22" s="16"/>
      <c r="E22" s="16"/>
      <c r="F22" s="16"/>
      <c r="H22" s="61"/>
      <c r="I22" s="207"/>
      <c r="J22" s="207"/>
      <c r="K22" s="207"/>
    </row>
    <row r="23" spans="1:11" ht="15.75" customHeight="1">
      <c r="A23" s="16"/>
      <c r="C23" s="16"/>
      <c r="D23" s="16"/>
      <c r="E23" s="16"/>
      <c r="F23" s="16"/>
      <c r="H23" s="61"/>
      <c r="I23" s="207"/>
      <c r="J23" s="207"/>
      <c r="K23" s="207"/>
    </row>
    <row r="24" spans="1:11" ht="15.75" customHeight="1">
      <c r="A24" s="16"/>
      <c r="B24" s="16"/>
      <c r="C24" s="16"/>
      <c r="D24" s="16"/>
      <c r="E24" s="16"/>
      <c r="F24" s="16"/>
    </row>
    <row r="25" spans="1:11" ht="15.75" customHeight="1">
      <c r="A25" s="16"/>
      <c r="B25" s="16"/>
      <c r="C25" s="16"/>
      <c r="D25" s="16"/>
    </row>
    <row r="26" spans="1:11" ht="15.75" customHeight="1">
      <c r="A26" s="16"/>
      <c r="B26" s="16"/>
      <c r="C26" s="16"/>
      <c r="D26" s="16"/>
    </row>
    <row r="27" spans="1:11" ht="15.75" customHeight="1">
      <c r="A27" s="16"/>
      <c r="B27" s="16"/>
      <c r="C27" s="16"/>
      <c r="D27" s="16"/>
      <c r="E27" s="98" t="s">
        <v>14</v>
      </c>
      <c r="F27" s="99">
        <v>1</v>
      </c>
    </row>
    <row r="28" spans="1:11" ht="15.6">
      <c r="E28" s="100" t="s">
        <v>15</v>
      </c>
      <c r="F28" s="101">
        <f>(100-F27)/100</f>
        <v>0.99</v>
      </c>
    </row>
  </sheetData>
  <mergeCells count="9">
    <mergeCell ref="B18:B20"/>
    <mergeCell ref="I21:K21"/>
    <mergeCell ref="I22:K22"/>
    <mergeCell ref="I23:K23"/>
    <mergeCell ref="A1:F1"/>
    <mergeCell ref="A3:B3"/>
    <mergeCell ref="A4:F4"/>
    <mergeCell ref="B5:D5"/>
    <mergeCell ref="E2:F2"/>
  </mergeCells>
  <phoneticPr fontId="20" type="noConversion"/>
  <printOptions horizontalCentered="1"/>
  <pageMargins left="0.39374999999999999" right="0.39374999999999999" top="0.59027777777777801" bottom="0.78749999999999998" header="0.51180555555555496" footer="0.51180555555555496"/>
  <pageSetup paperSize="9" scale="78" firstPageNumber="0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2"/>
  <sheetViews>
    <sheetView zoomScaleNormal="100" workbookViewId="0">
      <selection activeCell="I121" sqref="I121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66.59765625" style="15" customWidth="1"/>
    <col min="5" max="5" width="8.59765625" style="68" customWidth="1"/>
    <col min="6" max="6" width="10.59765625" style="61" customWidth="1"/>
    <col min="7" max="9" width="10.59765625" style="15" customWidth="1"/>
    <col min="10" max="10" width="8.59765625" style="15" customWidth="1"/>
    <col min="11" max="11" width="10.09765625" style="61" customWidth="1"/>
    <col min="12" max="12" width="11.3984375" style="15" customWidth="1"/>
    <col min="13" max="16384" width="9" style="15"/>
  </cols>
  <sheetData>
    <row r="1" spans="1:11" ht="132" customHeight="1">
      <c r="A1" s="199"/>
      <c r="B1" s="199"/>
      <c r="C1" s="199"/>
      <c r="D1" s="199"/>
      <c r="E1" s="199"/>
      <c r="F1" s="199"/>
      <c r="G1" s="199"/>
      <c r="H1" s="199"/>
      <c r="I1" s="199"/>
      <c r="J1" s="199"/>
    </row>
    <row r="2" spans="1:11" ht="15.75" customHeight="1">
      <c r="A2" s="71" t="s">
        <v>0</v>
      </c>
      <c r="B2" s="71"/>
      <c r="C2" s="71"/>
      <c r="D2" s="16"/>
      <c r="E2" s="200" t="s">
        <v>1</v>
      </c>
      <c r="F2" s="200"/>
      <c r="G2" s="200" t="s">
        <v>2</v>
      </c>
      <c r="H2" s="200"/>
      <c r="I2" s="200" t="s">
        <v>3</v>
      </c>
      <c r="J2" s="200"/>
    </row>
    <row r="3" spans="1:11" ht="45" customHeight="1">
      <c r="A3" s="201" t="str">
        <f>ORCAMENTO!A3</f>
        <v>MANUTEÇÃO PREVENTIVA E CORRETIVA DA  CRECHE MUNICIPAL "ODINAMAR OLIVEIRA GOMES"</v>
      </c>
      <c r="B3" s="201"/>
      <c r="C3" s="201"/>
      <c r="D3" s="201"/>
      <c r="E3" s="202" t="str">
        <f>ORCAMENTO!C3</f>
        <v xml:space="preserve">SINAPI - 03/2025 - Pará
SEDOP - 02/2025 - Pará
</v>
      </c>
      <c r="F3" s="202"/>
      <c r="G3" s="202" t="s">
        <v>16</v>
      </c>
      <c r="H3" s="202"/>
      <c r="I3" s="202" t="str">
        <f>ORCAMENTO!E3</f>
        <v>Desonerado: 
0,00%</v>
      </c>
      <c r="J3" s="202"/>
    </row>
    <row r="4" spans="1:11" s="16" customFormat="1" ht="18" customHeight="1">
      <c r="A4" s="205" t="s">
        <v>17</v>
      </c>
      <c r="B4" s="205"/>
      <c r="C4" s="205"/>
      <c r="D4" s="205"/>
      <c r="E4" s="205"/>
      <c r="F4" s="205"/>
      <c r="G4" s="205"/>
      <c r="H4" s="205"/>
      <c r="I4" s="205"/>
      <c r="J4" s="205"/>
      <c r="K4" s="38"/>
    </row>
    <row r="5" spans="1:11" ht="30" customHeight="1">
      <c r="A5" s="76" t="s">
        <v>5</v>
      </c>
      <c r="B5" s="77" t="s">
        <v>18</v>
      </c>
      <c r="C5" s="78" t="s">
        <v>19</v>
      </c>
      <c r="D5" s="79" t="s">
        <v>6</v>
      </c>
      <c r="E5" s="76" t="s">
        <v>20</v>
      </c>
      <c r="F5" s="80" t="s">
        <v>21</v>
      </c>
      <c r="G5" s="77" t="s">
        <v>22</v>
      </c>
      <c r="H5" s="77" t="s">
        <v>23</v>
      </c>
      <c r="I5" s="77" t="s">
        <v>7</v>
      </c>
      <c r="J5" s="77" t="s">
        <v>8</v>
      </c>
    </row>
    <row r="6" spans="1:11" s="16" customFormat="1" ht="21" customHeight="1">
      <c r="A6" s="33" t="s">
        <v>24</v>
      </c>
      <c r="B6" s="34"/>
      <c r="C6" s="33"/>
      <c r="D6" s="33" t="s">
        <v>9</v>
      </c>
      <c r="E6" s="35"/>
      <c r="F6" s="36"/>
      <c r="G6" s="33"/>
      <c r="H6" s="33"/>
      <c r="I6" s="36">
        <f>SUM(I7:I9)</f>
        <v>46850.25</v>
      </c>
      <c r="J6" s="37">
        <f>I6 / H127</f>
        <v>8.4937359711334148E-2</v>
      </c>
      <c r="K6" s="38">
        <f t="shared" ref="K6" si="0">TRUNC(F6*G6,2)</f>
        <v>0</v>
      </c>
    </row>
    <row r="7" spans="1:11" ht="21" customHeight="1">
      <c r="A7" s="17" t="s">
        <v>25</v>
      </c>
      <c r="B7" s="19" t="s">
        <v>443</v>
      </c>
      <c r="C7" s="17" t="s">
        <v>26</v>
      </c>
      <c r="D7" s="39" t="s">
        <v>592</v>
      </c>
      <c r="E7" s="18" t="s">
        <v>27</v>
      </c>
      <c r="F7" s="40">
        <v>3</v>
      </c>
      <c r="G7" s="40">
        <f>CPU!J7</f>
        <v>247.5</v>
      </c>
      <c r="H7" s="40">
        <f t="shared" ref="H7:H69" si="1">TRUNC(G7 * (1 + 28.82 / 100), 2)</f>
        <v>318.82</v>
      </c>
      <c r="I7" s="40">
        <f t="shared" ref="I7:I9" si="2">TRUNC(F7 * H7, 2)</f>
        <v>956.46</v>
      </c>
      <c r="J7" s="41">
        <f>I7 / H127</f>
        <v>1.7340182191024095E-3</v>
      </c>
      <c r="K7" s="38">
        <f t="shared" ref="K7:K10" si="3">TRUNC(F7*G7,2)</f>
        <v>742.5</v>
      </c>
    </row>
    <row r="8" spans="1:11" ht="21" customHeight="1">
      <c r="A8" s="17" t="s">
        <v>28</v>
      </c>
      <c r="B8" s="19" t="s">
        <v>390</v>
      </c>
      <c r="C8" s="17" t="s">
        <v>26</v>
      </c>
      <c r="D8" s="39" t="s">
        <v>444</v>
      </c>
      <c r="E8" s="18" t="s">
        <v>392</v>
      </c>
      <c r="F8" s="40">
        <v>6</v>
      </c>
      <c r="G8" s="40">
        <f>CPU!J12</f>
        <v>3462.72</v>
      </c>
      <c r="H8" s="40">
        <f t="shared" si="1"/>
        <v>4460.67</v>
      </c>
      <c r="I8" s="40">
        <f t="shared" si="2"/>
        <v>26764.02</v>
      </c>
      <c r="J8" s="41">
        <f>I8 / H127</f>
        <v>4.8521943726262749E-2</v>
      </c>
      <c r="K8" s="38">
        <f t="shared" si="3"/>
        <v>20776.32</v>
      </c>
    </row>
    <row r="9" spans="1:11" ht="21" customHeight="1">
      <c r="A9" s="17" t="s">
        <v>30</v>
      </c>
      <c r="B9" s="19" t="s">
        <v>386</v>
      </c>
      <c r="C9" s="17" t="s">
        <v>26</v>
      </c>
      <c r="D9" s="39" t="s">
        <v>593</v>
      </c>
      <c r="E9" s="18" t="s">
        <v>33</v>
      </c>
      <c r="F9" s="40">
        <v>1</v>
      </c>
      <c r="G9" s="40">
        <f>CPU!J18</f>
        <v>14850</v>
      </c>
      <c r="H9" s="40">
        <f t="shared" si="1"/>
        <v>19129.77</v>
      </c>
      <c r="I9" s="40">
        <f t="shared" si="2"/>
        <v>19129.77</v>
      </c>
      <c r="J9" s="41">
        <f>I9 / H127</f>
        <v>3.4681397765968992E-2</v>
      </c>
      <c r="K9" s="38">
        <f t="shared" si="3"/>
        <v>14850</v>
      </c>
    </row>
    <row r="10" spans="1:11" s="16" customFormat="1" ht="21" customHeight="1">
      <c r="A10" s="33" t="s">
        <v>240</v>
      </c>
      <c r="B10" s="34"/>
      <c r="C10" s="33"/>
      <c r="D10" s="33" t="s">
        <v>438</v>
      </c>
      <c r="E10" s="35"/>
      <c r="F10" s="36"/>
      <c r="G10" s="33"/>
      <c r="H10" s="33"/>
      <c r="I10" s="36">
        <f>I11+I16</f>
        <v>160102.78000000003</v>
      </c>
      <c r="J10" s="37">
        <f>I10 / H127</f>
        <v>0.29025901496031714</v>
      </c>
      <c r="K10" s="38">
        <f t="shared" si="3"/>
        <v>0</v>
      </c>
    </row>
    <row r="11" spans="1:11" s="16" customFormat="1" ht="21" customHeight="1">
      <c r="A11" s="33" t="s">
        <v>241</v>
      </c>
      <c r="B11" s="34"/>
      <c r="C11" s="33"/>
      <c r="D11" s="33" t="s">
        <v>445</v>
      </c>
      <c r="E11" s="35"/>
      <c r="F11" s="36"/>
      <c r="G11" s="33"/>
      <c r="H11" s="33"/>
      <c r="I11" s="36">
        <f>SUM(I12:I15)</f>
        <v>92054.610000000015</v>
      </c>
      <c r="J11" s="37">
        <f>I11 / H127</f>
        <v>0.16689079615704461</v>
      </c>
      <c r="K11" s="38">
        <f t="shared" ref="K11" si="4">TRUNC(F11*G11,2)</f>
        <v>0</v>
      </c>
    </row>
    <row r="12" spans="1:11" ht="21" customHeight="1">
      <c r="A12" s="17" t="s">
        <v>594</v>
      </c>
      <c r="B12" s="19" t="s">
        <v>446</v>
      </c>
      <c r="C12" s="17" t="s">
        <v>29</v>
      </c>
      <c r="D12" s="39" t="s">
        <v>447</v>
      </c>
      <c r="E12" s="18" t="s">
        <v>27</v>
      </c>
      <c r="F12" s="40">
        <v>1271.78</v>
      </c>
      <c r="G12" s="40">
        <f>CPU!J23</f>
        <v>16.97</v>
      </c>
      <c r="H12" s="40">
        <f t="shared" si="1"/>
        <v>21.86</v>
      </c>
      <c r="I12" s="40">
        <f t="shared" ref="I12:I18" si="5">TRUNC(F12 * H12, 2)</f>
        <v>27801.11</v>
      </c>
      <c r="J12" s="41">
        <f>I12 / H127</f>
        <v>5.0402140446302188E-2</v>
      </c>
      <c r="K12" s="38">
        <f>TRUNC(F12*G12,2)</f>
        <v>21582.1</v>
      </c>
    </row>
    <row r="13" spans="1:11" ht="21" customHeight="1">
      <c r="A13" s="17" t="s">
        <v>595</v>
      </c>
      <c r="B13" s="19" t="s">
        <v>449</v>
      </c>
      <c r="C13" s="17" t="s">
        <v>29</v>
      </c>
      <c r="D13" s="39" t="s">
        <v>450</v>
      </c>
      <c r="E13" s="18" t="s">
        <v>27</v>
      </c>
      <c r="F13" s="40">
        <v>1271.78</v>
      </c>
      <c r="G13" s="40">
        <f>CPU!J32</f>
        <v>13.73</v>
      </c>
      <c r="H13" s="40">
        <f t="shared" si="1"/>
        <v>17.68</v>
      </c>
      <c r="I13" s="40">
        <f t="shared" si="5"/>
        <v>22485.07</v>
      </c>
      <c r="J13" s="41">
        <f>I13 / H127</f>
        <v>4.0764403150986991E-2</v>
      </c>
      <c r="K13" s="38">
        <f t="shared" ref="K13:K79" si="6">TRUNC(F13*G13,2)</f>
        <v>17461.53</v>
      </c>
    </row>
    <row r="14" spans="1:11" ht="21" customHeight="1">
      <c r="A14" s="17" t="s">
        <v>596</v>
      </c>
      <c r="B14" s="19" t="s">
        <v>452</v>
      </c>
      <c r="C14" s="17" t="s">
        <v>29</v>
      </c>
      <c r="D14" s="39" t="s">
        <v>453</v>
      </c>
      <c r="E14" s="18" t="s">
        <v>27</v>
      </c>
      <c r="F14" s="40">
        <v>1271.78</v>
      </c>
      <c r="G14" s="40">
        <f>CPU!J42</f>
        <v>21.56</v>
      </c>
      <c r="H14" s="40">
        <f t="shared" si="1"/>
        <v>27.77</v>
      </c>
      <c r="I14" s="40">
        <f t="shared" si="5"/>
        <v>35317.33</v>
      </c>
      <c r="J14" s="41">
        <f>I14 / H127</f>
        <v>6.4028703416820473E-2</v>
      </c>
      <c r="K14" s="38">
        <f t="shared" ref="K14" si="7">TRUNC(F14*G14,2)</f>
        <v>27419.57</v>
      </c>
    </row>
    <row r="15" spans="1:11" ht="21" customHeight="1">
      <c r="A15" s="17" t="s">
        <v>597</v>
      </c>
      <c r="B15" s="19" t="s">
        <v>455</v>
      </c>
      <c r="C15" s="17" t="s">
        <v>29</v>
      </c>
      <c r="D15" s="39" t="s">
        <v>456</v>
      </c>
      <c r="E15" s="18" t="s">
        <v>32</v>
      </c>
      <c r="F15" s="40">
        <v>155</v>
      </c>
      <c r="G15" s="40">
        <f>CPU!J52</f>
        <v>32.31</v>
      </c>
      <c r="H15" s="40">
        <f t="shared" si="1"/>
        <v>41.62</v>
      </c>
      <c r="I15" s="40">
        <f t="shared" si="5"/>
        <v>6451.1</v>
      </c>
      <c r="J15" s="41">
        <f>I15 / H127</f>
        <v>1.1695549142934943E-2</v>
      </c>
      <c r="K15" s="38">
        <f t="shared" ref="K15:K19" si="8">TRUNC(F15*G15,2)</f>
        <v>5008.05</v>
      </c>
    </row>
    <row r="16" spans="1:11" s="16" customFormat="1" ht="21" customHeight="1">
      <c r="A16" s="33" t="s">
        <v>598</v>
      </c>
      <c r="B16" s="34"/>
      <c r="C16" s="33"/>
      <c r="D16" s="33" t="s">
        <v>462</v>
      </c>
      <c r="E16" s="35"/>
      <c r="F16" s="36"/>
      <c r="G16" s="33"/>
      <c r="H16" s="33"/>
      <c r="I16" s="36">
        <f>SUM(I17:I18)</f>
        <v>68048.17</v>
      </c>
      <c r="J16" s="37">
        <f>I16 / H127</f>
        <v>0.12336821880327249</v>
      </c>
      <c r="K16" s="38">
        <f t="shared" si="8"/>
        <v>0</v>
      </c>
    </row>
    <row r="17" spans="1:11" ht="21" customHeight="1">
      <c r="A17" s="17" t="s">
        <v>599</v>
      </c>
      <c r="B17" s="19" t="s">
        <v>600</v>
      </c>
      <c r="C17" s="17" t="s">
        <v>29</v>
      </c>
      <c r="D17" s="39" t="s">
        <v>601</v>
      </c>
      <c r="E17" s="18" t="s">
        <v>27</v>
      </c>
      <c r="F17" s="40">
        <v>211.45</v>
      </c>
      <c r="G17" s="40">
        <f>CPU!J62</f>
        <v>241.44</v>
      </c>
      <c r="H17" s="40">
        <f t="shared" si="1"/>
        <v>311.02</v>
      </c>
      <c r="I17" s="40">
        <f t="shared" si="5"/>
        <v>65765.17</v>
      </c>
      <c r="J17" s="41">
        <f>I17 / H127</f>
        <v>0.11922924425733142</v>
      </c>
      <c r="K17" s="38">
        <f t="shared" si="8"/>
        <v>51052.480000000003</v>
      </c>
    </row>
    <row r="18" spans="1:11" ht="21" customHeight="1">
      <c r="A18" s="17" t="s">
        <v>602</v>
      </c>
      <c r="B18" s="19" t="s">
        <v>464</v>
      </c>
      <c r="C18" s="17" t="s">
        <v>29</v>
      </c>
      <c r="D18" s="39" t="s">
        <v>465</v>
      </c>
      <c r="E18" s="18" t="s">
        <v>466</v>
      </c>
      <c r="F18" s="40">
        <v>60</v>
      </c>
      <c r="G18" s="40">
        <f>CPU!J72</f>
        <v>29.54</v>
      </c>
      <c r="H18" s="40">
        <f t="shared" si="1"/>
        <v>38.049999999999997</v>
      </c>
      <c r="I18" s="40">
        <f t="shared" si="5"/>
        <v>2283</v>
      </c>
      <c r="J18" s="41">
        <f>I18 / H127</f>
        <v>4.1389745459410755E-3</v>
      </c>
      <c r="K18" s="38">
        <f t="shared" si="8"/>
        <v>1772.4</v>
      </c>
    </row>
    <row r="19" spans="1:11" s="16" customFormat="1" ht="21" customHeight="1">
      <c r="A19" s="33" t="s">
        <v>342</v>
      </c>
      <c r="B19" s="34"/>
      <c r="C19" s="33"/>
      <c r="D19" s="33" t="s">
        <v>10</v>
      </c>
      <c r="E19" s="35"/>
      <c r="F19" s="36"/>
      <c r="G19" s="33"/>
      <c r="H19" s="33"/>
      <c r="I19" s="36">
        <f>I20+I24+I29</f>
        <v>23482.9</v>
      </c>
      <c r="J19" s="37">
        <f>I19 / H127</f>
        <v>4.2573423287288518E-2</v>
      </c>
      <c r="K19" s="38">
        <f t="shared" si="8"/>
        <v>0</v>
      </c>
    </row>
    <row r="20" spans="1:11" s="16" customFormat="1" ht="21" customHeight="1">
      <c r="A20" s="33" t="s">
        <v>279</v>
      </c>
      <c r="B20" s="34"/>
      <c r="C20" s="33"/>
      <c r="D20" s="33" t="s">
        <v>467</v>
      </c>
      <c r="E20" s="35"/>
      <c r="F20" s="36"/>
      <c r="G20" s="33"/>
      <c r="H20" s="33"/>
      <c r="I20" s="36">
        <f>SUM(I21:I23)</f>
        <v>5243.47</v>
      </c>
      <c r="J20" s="37">
        <f>I20 / H127</f>
        <v>9.5061712056091329E-3</v>
      </c>
      <c r="K20" s="38">
        <f t="shared" si="6"/>
        <v>0</v>
      </c>
    </row>
    <row r="21" spans="1:11" ht="21" customHeight="1">
      <c r="A21" s="17" t="s">
        <v>280</v>
      </c>
      <c r="B21" s="19" t="s">
        <v>468</v>
      </c>
      <c r="C21" s="17" t="s">
        <v>29</v>
      </c>
      <c r="D21" s="39" t="s">
        <v>469</v>
      </c>
      <c r="E21" s="18" t="s">
        <v>27</v>
      </c>
      <c r="F21" s="40">
        <v>6.93</v>
      </c>
      <c r="G21" s="40">
        <f>CPU!J78</f>
        <v>8.6300000000000008</v>
      </c>
      <c r="H21" s="40">
        <f t="shared" si="1"/>
        <v>11.11</v>
      </c>
      <c r="I21" s="40">
        <f t="shared" ref="I21:I23" si="9">TRUNC(F21 * H21, 2)</f>
        <v>76.989999999999995</v>
      </c>
      <c r="J21" s="41">
        <f>I21 / H127</f>
        <v>1.3957934747788146E-4</v>
      </c>
      <c r="K21" s="38">
        <f t="shared" si="6"/>
        <v>59.8</v>
      </c>
    </row>
    <row r="22" spans="1:11" ht="33" customHeight="1">
      <c r="A22" s="17" t="s">
        <v>281</v>
      </c>
      <c r="B22" s="19" t="s">
        <v>399</v>
      </c>
      <c r="C22" s="17" t="s">
        <v>29</v>
      </c>
      <c r="D22" s="39" t="s">
        <v>470</v>
      </c>
      <c r="E22" s="18" t="s">
        <v>33</v>
      </c>
      <c r="F22" s="40">
        <v>3</v>
      </c>
      <c r="G22" s="40">
        <f>CPU!J84</f>
        <v>992.36</v>
      </c>
      <c r="H22" s="40">
        <f t="shared" si="1"/>
        <v>1278.3499999999999</v>
      </c>
      <c r="I22" s="40">
        <f t="shared" si="9"/>
        <v>3835.05</v>
      </c>
      <c r="J22" s="41">
        <f>I22 / H127</f>
        <v>6.9527701850246705E-3</v>
      </c>
      <c r="K22" s="38">
        <f t="shared" si="6"/>
        <v>2977.08</v>
      </c>
    </row>
    <row r="23" spans="1:11" ht="33" customHeight="1">
      <c r="A23" s="17" t="s">
        <v>282</v>
      </c>
      <c r="B23" s="19" t="s">
        <v>471</v>
      </c>
      <c r="C23" s="17" t="s">
        <v>29</v>
      </c>
      <c r="D23" s="39" t="s">
        <v>472</v>
      </c>
      <c r="E23" s="18" t="s">
        <v>33</v>
      </c>
      <c r="F23" s="40">
        <v>1</v>
      </c>
      <c r="G23" s="40">
        <f>CPU!J92</f>
        <v>1033.56</v>
      </c>
      <c r="H23" s="40">
        <f t="shared" si="1"/>
        <v>1331.43</v>
      </c>
      <c r="I23" s="40">
        <f t="shared" si="9"/>
        <v>1331.43</v>
      </c>
      <c r="J23" s="41">
        <f>I23 / H127</f>
        <v>2.4138216731065818E-3</v>
      </c>
      <c r="K23" s="38">
        <f t="shared" si="6"/>
        <v>1033.56</v>
      </c>
    </row>
    <row r="24" spans="1:11" s="16" customFormat="1" ht="21" customHeight="1">
      <c r="A24" s="33" t="s">
        <v>603</v>
      </c>
      <c r="B24" s="34"/>
      <c r="C24" s="33"/>
      <c r="D24" s="33" t="s">
        <v>473</v>
      </c>
      <c r="E24" s="35"/>
      <c r="F24" s="36"/>
      <c r="G24" s="33"/>
      <c r="H24" s="33"/>
      <c r="I24" s="36">
        <f>SUM(I25:I28)</f>
        <v>13695.51</v>
      </c>
      <c r="J24" s="37">
        <f>I24 / H127</f>
        <v>2.4829333019571378E-2</v>
      </c>
      <c r="K24" s="38">
        <f t="shared" si="6"/>
        <v>0</v>
      </c>
    </row>
    <row r="25" spans="1:11" ht="33" customHeight="1">
      <c r="A25" s="17" t="s">
        <v>604</v>
      </c>
      <c r="B25" s="19" t="s">
        <v>474</v>
      </c>
      <c r="C25" s="17" t="s">
        <v>29</v>
      </c>
      <c r="D25" s="39" t="s">
        <v>475</v>
      </c>
      <c r="E25" s="18" t="s">
        <v>27</v>
      </c>
      <c r="F25" s="40">
        <v>12</v>
      </c>
      <c r="G25" s="40">
        <f>CPU!J100</f>
        <v>22.28</v>
      </c>
      <c r="H25" s="40">
        <f t="shared" si="1"/>
        <v>28.7</v>
      </c>
      <c r="I25" s="40">
        <f t="shared" ref="I25:I28" si="10">TRUNC(F25 * H25, 2)</f>
        <v>344.4</v>
      </c>
      <c r="J25" s="41">
        <f>I25 / H127</f>
        <v>6.2438144267284545E-4</v>
      </c>
      <c r="K25" s="38">
        <f t="shared" si="6"/>
        <v>267.36</v>
      </c>
    </row>
    <row r="26" spans="1:11" ht="33" customHeight="1">
      <c r="A26" s="17" t="s">
        <v>605</v>
      </c>
      <c r="B26" s="19" t="s">
        <v>353</v>
      </c>
      <c r="C26" s="17" t="s">
        <v>29</v>
      </c>
      <c r="D26" s="39" t="s">
        <v>354</v>
      </c>
      <c r="E26" s="18" t="s">
        <v>27</v>
      </c>
      <c r="F26" s="40">
        <v>6</v>
      </c>
      <c r="G26" s="40">
        <f>CPU!J106</f>
        <v>463.46</v>
      </c>
      <c r="H26" s="40">
        <f t="shared" si="1"/>
        <v>597.02</v>
      </c>
      <c r="I26" s="40">
        <f t="shared" si="10"/>
        <v>3582.12</v>
      </c>
      <c r="J26" s="41">
        <f>I26 / H127</f>
        <v>6.4942196673265194E-3</v>
      </c>
      <c r="K26" s="38">
        <f t="shared" si="6"/>
        <v>2780.76</v>
      </c>
    </row>
    <row r="27" spans="1:11" ht="33" customHeight="1">
      <c r="A27" s="17" t="s">
        <v>606</v>
      </c>
      <c r="B27" s="19" t="s">
        <v>293</v>
      </c>
      <c r="C27" s="17" t="s">
        <v>29</v>
      </c>
      <c r="D27" s="39" t="s">
        <v>355</v>
      </c>
      <c r="E27" s="18" t="s">
        <v>27</v>
      </c>
      <c r="F27" s="40">
        <v>6</v>
      </c>
      <c r="G27" s="40">
        <f>CPU!J114</f>
        <v>466.77</v>
      </c>
      <c r="H27" s="40">
        <f t="shared" si="1"/>
        <v>601.29</v>
      </c>
      <c r="I27" s="40">
        <f t="shared" si="10"/>
        <v>3607.74</v>
      </c>
      <c r="J27" s="41">
        <f>I27 / H127</f>
        <v>6.5406675551351089E-3</v>
      </c>
      <c r="K27" s="38">
        <f t="shared" si="6"/>
        <v>2800.62</v>
      </c>
    </row>
    <row r="28" spans="1:11" ht="33" customHeight="1">
      <c r="A28" s="17" t="s">
        <v>607</v>
      </c>
      <c r="B28" s="19" t="s">
        <v>476</v>
      </c>
      <c r="C28" s="17" t="s">
        <v>66</v>
      </c>
      <c r="D28" s="39" t="s">
        <v>608</v>
      </c>
      <c r="E28" s="18" t="s">
        <v>27</v>
      </c>
      <c r="F28" s="40">
        <v>15</v>
      </c>
      <c r="G28" s="40">
        <f>CPU!J124</f>
        <v>318.86</v>
      </c>
      <c r="H28" s="40">
        <f t="shared" si="1"/>
        <v>410.75</v>
      </c>
      <c r="I28" s="40">
        <f t="shared" si="10"/>
        <v>6161.25</v>
      </c>
      <c r="J28" s="41">
        <f>I28 / H127</f>
        <v>1.1170064354436904E-2</v>
      </c>
      <c r="K28" s="38">
        <f t="shared" ref="K28" si="11">TRUNC(F28*G28,2)</f>
        <v>4782.8999999999996</v>
      </c>
    </row>
    <row r="29" spans="1:11" s="16" customFormat="1" ht="21" customHeight="1">
      <c r="A29" s="33" t="s">
        <v>609</v>
      </c>
      <c r="B29" s="34"/>
      <c r="C29" s="33"/>
      <c r="D29" s="33" t="s">
        <v>477</v>
      </c>
      <c r="E29" s="35"/>
      <c r="F29" s="36"/>
      <c r="G29" s="33"/>
      <c r="H29" s="33"/>
      <c r="I29" s="36">
        <f>SUM(I30:I31)</f>
        <v>4543.92</v>
      </c>
      <c r="J29" s="37">
        <f>I29 / H127</f>
        <v>8.2379190621080026E-3</v>
      </c>
      <c r="K29" s="38">
        <f t="shared" si="6"/>
        <v>0</v>
      </c>
    </row>
    <row r="30" spans="1:11" ht="33" customHeight="1">
      <c r="A30" s="17" t="s">
        <v>610</v>
      </c>
      <c r="B30" s="19" t="s">
        <v>360</v>
      </c>
      <c r="C30" s="17" t="s">
        <v>29</v>
      </c>
      <c r="D30" s="39" t="s">
        <v>361</v>
      </c>
      <c r="E30" s="18" t="s">
        <v>33</v>
      </c>
      <c r="F30" s="40">
        <v>12</v>
      </c>
      <c r="G30" s="40">
        <f>CPU!J132</f>
        <v>156.63</v>
      </c>
      <c r="H30" s="40">
        <f t="shared" si="1"/>
        <v>201.77</v>
      </c>
      <c r="I30" s="40">
        <f t="shared" ref="I30:I31" si="12">TRUNC(F30 * H30, 2)</f>
        <v>2421.2399999999998</v>
      </c>
      <c r="J30" s="41">
        <f>I30 / H127</f>
        <v>4.3895973410487815E-3</v>
      </c>
      <c r="K30" s="38">
        <f t="shared" si="6"/>
        <v>1879.56</v>
      </c>
    </row>
    <row r="31" spans="1:11" ht="33" customHeight="1">
      <c r="A31" s="17" t="s">
        <v>611</v>
      </c>
      <c r="B31" s="19" t="s">
        <v>478</v>
      </c>
      <c r="C31" s="17" t="s">
        <v>29</v>
      </c>
      <c r="D31" s="39" t="s">
        <v>479</v>
      </c>
      <c r="E31" s="18" t="s">
        <v>33</v>
      </c>
      <c r="F31" s="40">
        <v>12</v>
      </c>
      <c r="G31" s="40">
        <f>CPU!J139</f>
        <v>137.32</v>
      </c>
      <c r="H31" s="40">
        <f t="shared" si="1"/>
        <v>176.89</v>
      </c>
      <c r="I31" s="40">
        <f t="shared" si="12"/>
        <v>2122.6799999999998</v>
      </c>
      <c r="J31" s="41">
        <f>I31 / H127</f>
        <v>3.848321721059221E-3</v>
      </c>
      <c r="K31" s="38">
        <f t="shared" si="6"/>
        <v>1647.84</v>
      </c>
    </row>
    <row r="32" spans="1:11" s="16" customFormat="1" ht="21" customHeight="1">
      <c r="A32" s="33" t="s">
        <v>283</v>
      </c>
      <c r="B32" s="34"/>
      <c r="C32" s="33"/>
      <c r="D32" s="33" t="s">
        <v>385</v>
      </c>
      <c r="E32" s="35"/>
      <c r="F32" s="36"/>
      <c r="G32" s="33"/>
      <c r="H32" s="33"/>
      <c r="I32" s="36">
        <f>I33+I38+I44+I49</f>
        <v>47915.86</v>
      </c>
      <c r="J32" s="37">
        <f>I32 / H127</f>
        <v>8.6869261886498531E-2</v>
      </c>
      <c r="K32" s="38">
        <f t="shared" si="6"/>
        <v>0</v>
      </c>
    </row>
    <row r="33" spans="1:11" s="16" customFormat="1" ht="21" customHeight="1">
      <c r="A33" s="33" t="s">
        <v>284</v>
      </c>
      <c r="B33" s="34"/>
      <c r="C33" s="33"/>
      <c r="D33" s="33" t="s">
        <v>480</v>
      </c>
      <c r="E33" s="35"/>
      <c r="F33" s="36"/>
      <c r="G33" s="33"/>
      <c r="H33" s="33"/>
      <c r="I33" s="36">
        <f>SUM(I34:I37)</f>
        <v>10605.99</v>
      </c>
      <c r="J33" s="37">
        <f>I33 / H127</f>
        <v>1.9228174614325706E-2</v>
      </c>
      <c r="K33" s="38">
        <f t="shared" si="6"/>
        <v>0</v>
      </c>
    </row>
    <row r="34" spans="1:11" ht="33" customHeight="1">
      <c r="A34" s="17" t="s">
        <v>285</v>
      </c>
      <c r="B34" s="19" t="s">
        <v>482</v>
      </c>
      <c r="C34" s="17" t="s">
        <v>29</v>
      </c>
      <c r="D34" s="39" t="s">
        <v>483</v>
      </c>
      <c r="E34" s="18" t="s">
        <v>33</v>
      </c>
      <c r="F34" s="40">
        <v>1</v>
      </c>
      <c r="G34" s="40">
        <f>CPU!J146</f>
        <v>372.73</v>
      </c>
      <c r="H34" s="40">
        <f t="shared" si="1"/>
        <v>480.15</v>
      </c>
      <c r="I34" s="40">
        <f t="shared" ref="I34:I43" si="13">TRUNC(F34 * H34, 2)</f>
        <v>480.15</v>
      </c>
      <c r="J34" s="41">
        <f>I34 / H127</f>
        <v>8.7048998170547842E-4</v>
      </c>
      <c r="K34" s="38">
        <f t="shared" ref="K34" si="14">TRUNC(F34*G34,2)</f>
        <v>372.73</v>
      </c>
    </row>
    <row r="35" spans="1:11" ht="33" customHeight="1">
      <c r="A35" s="17" t="s">
        <v>448</v>
      </c>
      <c r="B35" s="19" t="s">
        <v>485</v>
      </c>
      <c r="C35" s="17" t="s">
        <v>29</v>
      </c>
      <c r="D35" s="39" t="s">
        <v>486</v>
      </c>
      <c r="E35" s="18" t="s">
        <v>33</v>
      </c>
      <c r="F35" s="40">
        <v>12</v>
      </c>
      <c r="G35" s="40">
        <f>CPU!J154</f>
        <v>11.29</v>
      </c>
      <c r="H35" s="40">
        <f t="shared" si="1"/>
        <v>14.54</v>
      </c>
      <c r="I35" s="40">
        <f t="shared" si="13"/>
        <v>174.48</v>
      </c>
      <c r="J35" s="41">
        <f>I35 / H127</f>
        <v>3.1632425701962275E-4</v>
      </c>
      <c r="K35" s="38">
        <f t="shared" ref="K35" si="15">TRUNC(F35*G35,2)</f>
        <v>135.47999999999999</v>
      </c>
    </row>
    <row r="36" spans="1:11" ht="33" customHeight="1">
      <c r="A36" s="17" t="s">
        <v>451</v>
      </c>
      <c r="B36" s="19" t="s">
        <v>488</v>
      </c>
      <c r="C36" s="17" t="s">
        <v>26</v>
      </c>
      <c r="D36" s="39" t="s">
        <v>489</v>
      </c>
      <c r="E36" s="18" t="s">
        <v>33</v>
      </c>
      <c r="F36" s="40">
        <v>9</v>
      </c>
      <c r="G36" s="40">
        <f>CPU!J162</f>
        <v>163.36000000000001</v>
      </c>
      <c r="H36" s="40">
        <f t="shared" si="1"/>
        <v>210.44</v>
      </c>
      <c r="I36" s="40">
        <f t="shared" si="13"/>
        <v>1893.96</v>
      </c>
      <c r="J36" s="41">
        <f>I36 / H127</f>
        <v>3.4336628256813662E-3</v>
      </c>
      <c r="K36" s="38">
        <f t="shared" ref="K36" si="16">TRUNC(F36*G36,2)</f>
        <v>1470.24</v>
      </c>
    </row>
    <row r="37" spans="1:11" ht="33" customHeight="1">
      <c r="A37" s="17" t="s">
        <v>454</v>
      </c>
      <c r="B37" s="19" t="s">
        <v>506</v>
      </c>
      <c r="C37" s="17" t="s">
        <v>66</v>
      </c>
      <c r="D37" s="39" t="s">
        <v>612</v>
      </c>
      <c r="E37" s="18" t="s">
        <v>507</v>
      </c>
      <c r="F37" s="40">
        <v>60</v>
      </c>
      <c r="G37" s="40">
        <f>CPU!J169</f>
        <v>104.25</v>
      </c>
      <c r="H37" s="40">
        <f t="shared" si="1"/>
        <v>134.29</v>
      </c>
      <c r="I37" s="40">
        <f t="shared" si="13"/>
        <v>8057.4</v>
      </c>
      <c r="J37" s="41">
        <f>I37 / H127</f>
        <v>1.4607697549919238E-2</v>
      </c>
      <c r="K37" s="38">
        <f t="shared" si="6"/>
        <v>6255</v>
      </c>
    </row>
    <row r="38" spans="1:11" s="16" customFormat="1" ht="21" customHeight="1">
      <c r="A38" s="33" t="s">
        <v>286</v>
      </c>
      <c r="B38" s="34"/>
      <c r="C38" s="33"/>
      <c r="D38" s="33" t="s">
        <v>490</v>
      </c>
      <c r="E38" s="35"/>
      <c r="F38" s="36"/>
      <c r="G38" s="33"/>
      <c r="H38" s="33"/>
      <c r="I38" s="36">
        <f>SUM(I39:I43)</f>
        <v>11827.689999999999</v>
      </c>
      <c r="J38" s="37">
        <f>I38 / H127</f>
        <v>2.1443060817907048E-2</v>
      </c>
      <c r="K38" s="38">
        <f t="shared" si="6"/>
        <v>0</v>
      </c>
    </row>
    <row r="39" spans="1:11" ht="21" customHeight="1">
      <c r="A39" s="17" t="s">
        <v>287</v>
      </c>
      <c r="B39" s="19" t="s">
        <v>311</v>
      </c>
      <c r="C39" s="17" t="s">
        <v>29</v>
      </c>
      <c r="D39" s="39" t="s">
        <v>492</v>
      </c>
      <c r="E39" s="18" t="s">
        <v>33</v>
      </c>
      <c r="F39" s="40">
        <v>1</v>
      </c>
      <c r="G39" s="40">
        <f>CPU!J181</f>
        <v>78.03</v>
      </c>
      <c r="H39" s="40">
        <f t="shared" si="1"/>
        <v>100.51</v>
      </c>
      <c r="I39" s="40">
        <f t="shared" si="13"/>
        <v>100.51</v>
      </c>
      <c r="J39" s="41">
        <f>I39 / H127</f>
        <v>1.8222003136773434E-4</v>
      </c>
      <c r="K39" s="38">
        <f t="shared" si="6"/>
        <v>78.03</v>
      </c>
    </row>
    <row r="40" spans="1:11" ht="21" customHeight="1">
      <c r="A40" s="17" t="s">
        <v>457</v>
      </c>
      <c r="B40" s="19" t="s">
        <v>494</v>
      </c>
      <c r="C40" s="17" t="s">
        <v>29</v>
      </c>
      <c r="D40" s="39" t="s">
        <v>495</v>
      </c>
      <c r="E40" s="18" t="s">
        <v>32</v>
      </c>
      <c r="F40" s="40">
        <v>12</v>
      </c>
      <c r="G40" s="40">
        <f>CPU!J188</f>
        <v>17.47</v>
      </c>
      <c r="H40" s="40">
        <f t="shared" si="1"/>
        <v>22.5</v>
      </c>
      <c r="I40" s="40">
        <f t="shared" si="13"/>
        <v>270</v>
      </c>
      <c r="J40" s="41">
        <f>I40 / H127</f>
        <v>4.8949764669473951E-4</v>
      </c>
      <c r="K40" s="38">
        <f t="shared" si="6"/>
        <v>209.64</v>
      </c>
    </row>
    <row r="41" spans="1:11" ht="33" customHeight="1">
      <c r="A41" s="17" t="s">
        <v>458</v>
      </c>
      <c r="B41" s="19" t="s">
        <v>350</v>
      </c>
      <c r="C41" s="17" t="s">
        <v>29</v>
      </c>
      <c r="D41" s="39" t="s">
        <v>497</v>
      </c>
      <c r="E41" s="18" t="s">
        <v>33</v>
      </c>
      <c r="F41" s="40">
        <v>1</v>
      </c>
      <c r="G41" s="40">
        <f>CPU!J196</f>
        <v>58.9</v>
      </c>
      <c r="H41" s="40">
        <f t="shared" si="1"/>
        <v>75.87</v>
      </c>
      <c r="I41" s="40">
        <f t="shared" si="13"/>
        <v>75.87</v>
      </c>
      <c r="J41" s="41">
        <f>I41 / H127</f>
        <v>1.3754883872122182E-4</v>
      </c>
      <c r="K41" s="38">
        <f t="shared" si="6"/>
        <v>58.9</v>
      </c>
    </row>
    <row r="42" spans="1:11" ht="33" customHeight="1">
      <c r="A42" s="17" t="s">
        <v>459</v>
      </c>
      <c r="B42" s="19" t="s">
        <v>499</v>
      </c>
      <c r="C42" s="17" t="s">
        <v>29</v>
      </c>
      <c r="D42" s="39" t="s">
        <v>500</v>
      </c>
      <c r="E42" s="18" t="s">
        <v>32</v>
      </c>
      <c r="F42" s="40">
        <v>250</v>
      </c>
      <c r="G42" s="40">
        <f>CPU!J204</f>
        <v>35.270000000000003</v>
      </c>
      <c r="H42" s="40">
        <f t="shared" si="1"/>
        <v>45.43</v>
      </c>
      <c r="I42" s="40">
        <f t="shared" si="13"/>
        <v>11357.5</v>
      </c>
      <c r="J42" s="41">
        <f>I42 / H127</f>
        <v>2.0590627860501868E-2</v>
      </c>
      <c r="K42" s="38">
        <f t="shared" si="6"/>
        <v>8817.5</v>
      </c>
    </row>
    <row r="43" spans="1:11" ht="33" customHeight="1">
      <c r="A43" s="17" t="s">
        <v>460</v>
      </c>
      <c r="B43" s="19" t="s">
        <v>502</v>
      </c>
      <c r="C43" s="17" t="s">
        <v>29</v>
      </c>
      <c r="D43" s="39" t="s">
        <v>503</v>
      </c>
      <c r="E43" s="18" t="s">
        <v>33</v>
      </c>
      <c r="F43" s="40">
        <v>1</v>
      </c>
      <c r="G43" s="40">
        <f>CPU!J212</f>
        <v>18.489999999999998</v>
      </c>
      <c r="H43" s="40">
        <f t="shared" si="1"/>
        <v>23.81</v>
      </c>
      <c r="I43" s="40">
        <f t="shared" si="13"/>
        <v>23.81</v>
      </c>
      <c r="J43" s="41">
        <f>I43 / H127</f>
        <v>4.3166440621487952E-5</v>
      </c>
      <c r="K43" s="38">
        <f t="shared" ref="K43:K57" si="17">TRUNC(F43*G43,2)</f>
        <v>18.489999999999998</v>
      </c>
    </row>
    <row r="44" spans="1:11" s="16" customFormat="1" ht="21" customHeight="1">
      <c r="A44" s="33" t="s">
        <v>461</v>
      </c>
      <c r="B44" s="34"/>
      <c r="C44" s="33"/>
      <c r="D44" s="33" t="s">
        <v>508</v>
      </c>
      <c r="E44" s="35"/>
      <c r="F44" s="36"/>
      <c r="G44" s="33"/>
      <c r="H44" s="33"/>
      <c r="I44" s="36">
        <f>SUM(I45:I48)</f>
        <v>14422.35</v>
      </c>
      <c r="J44" s="37">
        <f>I44 / H127</f>
        <v>2.614706068447362E-2</v>
      </c>
      <c r="K44" s="38">
        <f t="shared" si="17"/>
        <v>0</v>
      </c>
    </row>
    <row r="45" spans="1:11" ht="33" customHeight="1">
      <c r="A45" s="17" t="s">
        <v>463</v>
      </c>
      <c r="B45" s="19" t="s">
        <v>509</v>
      </c>
      <c r="C45" s="17" t="s">
        <v>29</v>
      </c>
      <c r="D45" s="39" t="s">
        <v>510</v>
      </c>
      <c r="E45" s="18" t="s">
        <v>33</v>
      </c>
      <c r="F45" s="40">
        <v>171</v>
      </c>
      <c r="G45" s="40">
        <f>CPU!J219</f>
        <v>1.62</v>
      </c>
      <c r="H45" s="40">
        <f t="shared" si="1"/>
        <v>2.08</v>
      </c>
      <c r="I45" s="40">
        <f t="shared" ref="I45:I48" si="18">TRUNC(F45 * H45, 2)</f>
        <v>355.68</v>
      </c>
      <c r="J45" s="41">
        <f>I45 / H127</f>
        <v>6.4483156657920359E-4</v>
      </c>
      <c r="K45" s="38">
        <f t="shared" si="17"/>
        <v>277.02</v>
      </c>
    </row>
    <row r="46" spans="1:11" ht="33" customHeight="1">
      <c r="A46" s="17" t="s">
        <v>613</v>
      </c>
      <c r="B46" s="19" t="s">
        <v>511</v>
      </c>
      <c r="C46" s="17" t="s">
        <v>29</v>
      </c>
      <c r="D46" s="39" t="s">
        <v>512</v>
      </c>
      <c r="E46" s="18" t="s">
        <v>33</v>
      </c>
      <c r="F46" s="40">
        <v>135</v>
      </c>
      <c r="G46" s="40">
        <f>CPU!J225</f>
        <v>34.57</v>
      </c>
      <c r="H46" s="40">
        <f t="shared" si="1"/>
        <v>44.53</v>
      </c>
      <c r="I46" s="40">
        <f t="shared" si="18"/>
        <v>6011.55</v>
      </c>
      <c r="J46" s="41">
        <f>I46 / H127</f>
        <v>1.0898665103658375E-2</v>
      </c>
      <c r="K46" s="38">
        <f t="shared" si="17"/>
        <v>4666.95</v>
      </c>
    </row>
    <row r="47" spans="1:11" ht="33" customHeight="1">
      <c r="A47" s="17" t="s">
        <v>614</v>
      </c>
      <c r="B47" s="19" t="s">
        <v>513</v>
      </c>
      <c r="C47" s="17" t="s">
        <v>29</v>
      </c>
      <c r="D47" s="39" t="s">
        <v>514</v>
      </c>
      <c r="E47" s="18" t="s">
        <v>33</v>
      </c>
      <c r="F47" s="40">
        <v>30</v>
      </c>
      <c r="G47" s="40">
        <f>CPU!J232</f>
        <v>121.86</v>
      </c>
      <c r="H47" s="40">
        <f t="shared" si="1"/>
        <v>156.97999999999999</v>
      </c>
      <c r="I47" s="40">
        <f t="shared" si="18"/>
        <v>4709.3999999999996</v>
      </c>
      <c r="J47" s="41">
        <f>I47 / H127</f>
        <v>8.5379267309044667E-3</v>
      </c>
      <c r="K47" s="38">
        <f t="shared" si="17"/>
        <v>3655.8</v>
      </c>
    </row>
    <row r="48" spans="1:11" ht="33" customHeight="1">
      <c r="A48" s="17" t="s">
        <v>615</v>
      </c>
      <c r="B48" s="19" t="s">
        <v>431</v>
      </c>
      <c r="C48" s="17" t="s">
        <v>29</v>
      </c>
      <c r="D48" s="39" t="s">
        <v>616</v>
      </c>
      <c r="E48" s="18" t="s">
        <v>33</v>
      </c>
      <c r="F48" s="40">
        <v>6</v>
      </c>
      <c r="G48" s="40">
        <f>CPU!J240</f>
        <v>432.87</v>
      </c>
      <c r="H48" s="40">
        <f t="shared" si="1"/>
        <v>557.62</v>
      </c>
      <c r="I48" s="40">
        <f t="shared" si="18"/>
        <v>3345.72</v>
      </c>
      <c r="J48" s="41">
        <f>I48 / H127</f>
        <v>6.0656372833315696E-3</v>
      </c>
      <c r="K48" s="38">
        <f t="shared" si="17"/>
        <v>2597.2199999999998</v>
      </c>
    </row>
    <row r="49" spans="1:11" s="16" customFormat="1" ht="21" customHeight="1">
      <c r="A49" s="33" t="s">
        <v>617</v>
      </c>
      <c r="B49" s="34"/>
      <c r="C49" s="33"/>
      <c r="D49" s="33" t="s">
        <v>515</v>
      </c>
      <c r="E49" s="35"/>
      <c r="F49" s="36"/>
      <c r="G49" s="33"/>
      <c r="H49" s="33"/>
      <c r="I49" s="36">
        <f>SUM(I50:I54)</f>
        <v>11059.83</v>
      </c>
      <c r="J49" s="37">
        <f>I49 / H127</f>
        <v>2.0050965769792151E-2</v>
      </c>
      <c r="K49" s="38">
        <f t="shared" ref="K49:K53" si="19">TRUNC(F49*G49,2)</f>
        <v>0</v>
      </c>
    </row>
    <row r="50" spans="1:11" ht="33" customHeight="1">
      <c r="A50" s="17" t="s">
        <v>618</v>
      </c>
      <c r="B50" s="19" t="s">
        <v>516</v>
      </c>
      <c r="C50" s="17" t="s">
        <v>29</v>
      </c>
      <c r="D50" s="39" t="s">
        <v>517</v>
      </c>
      <c r="E50" s="18" t="s">
        <v>33</v>
      </c>
      <c r="F50" s="40">
        <v>205</v>
      </c>
      <c r="G50" s="40">
        <f>CPU!J249</f>
        <v>0.59</v>
      </c>
      <c r="H50" s="40">
        <f t="shared" si="1"/>
        <v>0.76</v>
      </c>
      <c r="I50" s="40">
        <f t="shared" ref="I50:I54" si="20">TRUNC(F50 * H50, 2)</f>
        <v>155.80000000000001</v>
      </c>
      <c r="J50" s="41">
        <f>I50 / H127</f>
        <v>2.824582716853349E-4</v>
      </c>
      <c r="K50" s="38">
        <f t="shared" si="19"/>
        <v>120.95</v>
      </c>
    </row>
    <row r="51" spans="1:11" ht="33" customHeight="1">
      <c r="A51" s="17" t="s">
        <v>619</v>
      </c>
      <c r="B51" s="19" t="s">
        <v>518</v>
      </c>
      <c r="C51" s="17" t="s">
        <v>29</v>
      </c>
      <c r="D51" s="39" t="s">
        <v>519</v>
      </c>
      <c r="E51" s="18" t="s">
        <v>33</v>
      </c>
      <c r="F51" s="40">
        <v>52</v>
      </c>
      <c r="G51" s="40">
        <f>CPU!J255</f>
        <v>33.25</v>
      </c>
      <c r="H51" s="40">
        <f t="shared" si="1"/>
        <v>42.83</v>
      </c>
      <c r="I51" s="40">
        <f t="shared" si="20"/>
        <v>2227.16</v>
      </c>
      <c r="J51" s="41">
        <f>I51 / H127</f>
        <v>4.0377391807876152E-3</v>
      </c>
      <c r="K51" s="38">
        <f t="shared" si="19"/>
        <v>1729</v>
      </c>
    </row>
    <row r="52" spans="1:11" ht="33" customHeight="1">
      <c r="A52" s="17" t="s">
        <v>620</v>
      </c>
      <c r="B52" s="19" t="s">
        <v>520</v>
      </c>
      <c r="C52" s="17" t="s">
        <v>29</v>
      </c>
      <c r="D52" s="39" t="s">
        <v>521</v>
      </c>
      <c r="E52" s="18" t="s">
        <v>33</v>
      </c>
      <c r="F52" s="40">
        <v>20</v>
      </c>
      <c r="G52" s="40">
        <f>CPU!J261</f>
        <v>53.62</v>
      </c>
      <c r="H52" s="40">
        <f t="shared" si="1"/>
        <v>69.069999999999993</v>
      </c>
      <c r="I52" s="40">
        <f t="shared" si="20"/>
        <v>1381.4</v>
      </c>
      <c r="J52" s="41">
        <f>I52 / H127</f>
        <v>2.504414996830049E-3</v>
      </c>
      <c r="K52" s="38">
        <f t="shared" si="19"/>
        <v>1072.4000000000001</v>
      </c>
    </row>
    <row r="53" spans="1:11" ht="33" customHeight="1">
      <c r="A53" s="17" t="s">
        <v>621</v>
      </c>
      <c r="B53" s="19" t="s">
        <v>622</v>
      </c>
      <c r="C53" s="17" t="s">
        <v>29</v>
      </c>
      <c r="D53" s="39" t="s">
        <v>623</v>
      </c>
      <c r="E53" s="18" t="s">
        <v>33</v>
      </c>
      <c r="F53" s="40">
        <v>7</v>
      </c>
      <c r="G53" s="40">
        <f>CPU!J267</f>
        <v>73.930000000000007</v>
      </c>
      <c r="H53" s="40">
        <f t="shared" si="1"/>
        <v>95.23</v>
      </c>
      <c r="I53" s="40">
        <f t="shared" si="20"/>
        <v>666.61</v>
      </c>
      <c r="J53" s="41">
        <f>I53 / H127</f>
        <v>1.2085334306043715E-3</v>
      </c>
      <c r="K53" s="38">
        <f t="shared" si="19"/>
        <v>517.51</v>
      </c>
    </row>
    <row r="54" spans="1:11" ht="33" customHeight="1">
      <c r="A54" s="17" t="s">
        <v>624</v>
      </c>
      <c r="B54" s="19" t="s">
        <v>522</v>
      </c>
      <c r="C54" s="17" t="s">
        <v>29</v>
      </c>
      <c r="D54" s="39" t="s">
        <v>523</v>
      </c>
      <c r="E54" s="18" t="s">
        <v>33</v>
      </c>
      <c r="F54" s="40">
        <v>126</v>
      </c>
      <c r="G54" s="40">
        <f>CPU!J273</f>
        <v>40.840000000000003</v>
      </c>
      <c r="H54" s="40">
        <f t="shared" si="1"/>
        <v>52.61</v>
      </c>
      <c r="I54" s="40">
        <f t="shared" si="20"/>
        <v>6628.86</v>
      </c>
      <c r="J54" s="41">
        <f>I54 / H127</f>
        <v>1.2017819889884781E-2</v>
      </c>
      <c r="K54" s="38">
        <f t="shared" si="17"/>
        <v>5145.84</v>
      </c>
    </row>
    <row r="55" spans="1:11" s="16" customFormat="1" ht="21" customHeight="1">
      <c r="A55" s="33" t="s">
        <v>288</v>
      </c>
      <c r="B55" s="34"/>
      <c r="C55" s="33"/>
      <c r="D55" s="33" t="s">
        <v>384</v>
      </c>
      <c r="E55" s="35"/>
      <c r="F55" s="36"/>
      <c r="G55" s="33"/>
      <c r="H55" s="33"/>
      <c r="I55" s="36">
        <f>I56+I59+I70</f>
        <v>42823.630000000005</v>
      </c>
      <c r="J55" s="37">
        <f>I55 / H127</f>
        <v>7.7637281881208331E-2</v>
      </c>
      <c r="K55" s="38">
        <f t="shared" si="17"/>
        <v>0</v>
      </c>
    </row>
    <row r="56" spans="1:11" s="16" customFormat="1" ht="21" customHeight="1">
      <c r="A56" s="33" t="s">
        <v>289</v>
      </c>
      <c r="B56" s="34"/>
      <c r="C56" s="33"/>
      <c r="D56" s="33" t="s">
        <v>524</v>
      </c>
      <c r="E56" s="35"/>
      <c r="F56" s="36"/>
      <c r="G56" s="33"/>
      <c r="H56" s="33"/>
      <c r="I56" s="36">
        <f>SUM(I57:I58)</f>
        <v>21064.5</v>
      </c>
      <c r="J56" s="37">
        <f>I56 / H127</f>
        <v>3.8188974736301264E-2</v>
      </c>
      <c r="K56" s="38">
        <f t="shared" si="17"/>
        <v>0</v>
      </c>
    </row>
    <row r="57" spans="1:11" ht="21" customHeight="1">
      <c r="A57" s="17" t="s">
        <v>625</v>
      </c>
      <c r="B57" s="19" t="s">
        <v>526</v>
      </c>
      <c r="C57" s="17" t="s">
        <v>66</v>
      </c>
      <c r="D57" s="39" t="s">
        <v>527</v>
      </c>
      <c r="E57" s="18" t="s">
        <v>507</v>
      </c>
      <c r="F57" s="40">
        <v>50</v>
      </c>
      <c r="G57" s="40">
        <f>CPU!J279</f>
        <v>115.68</v>
      </c>
      <c r="H57" s="40">
        <f t="shared" si="1"/>
        <v>149.01</v>
      </c>
      <c r="I57" s="40">
        <f t="shared" ref="I57:I58" si="21">TRUNC(F57 * H57, 2)</f>
        <v>7450.5</v>
      </c>
      <c r="J57" s="41">
        <f>I57 / H127</f>
        <v>1.3507415617404284E-2</v>
      </c>
      <c r="K57" s="38">
        <f t="shared" si="17"/>
        <v>5784</v>
      </c>
    </row>
    <row r="58" spans="1:11" ht="21" customHeight="1">
      <c r="A58" s="17" t="s">
        <v>626</v>
      </c>
      <c r="B58" s="19" t="s">
        <v>529</v>
      </c>
      <c r="C58" s="17" t="s">
        <v>66</v>
      </c>
      <c r="D58" s="39" t="s">
        <v>530</v>
      </c>
      <c r="E58" s="18" t="s">
        <v>507</v>
      </c>
      <c r="F58" s="40">
        <v>60</v>
      </c>
      <c r="G58" s="40">
        <f>CPU!J284</f>
        <v>176.14</v>
      </c>
      <c r="H58" s="40">
        <f t="shared" si="1"/>
        <v>226.9</v>
      </c>
      <c r="I58" s="40">
        <f t="shared" si="21"/>
        <v>13614</v>
      </c>
      <c r="J58" s="41">
        <f>I58 / H127</f>
        <v>2.4681559118896978E-2</v>
      </c>
      <c r="K58" s="38">
        <f t="shared" si="6"/>
        <v>10568.4</v>
      </c>
    </row>
    <row r="59" spans="1:11" s="16" customFormat="1" ht="21" customHeight="1">
      <c r="A59" s="33" t="s">
        <v>290</v>
      </c>
      <c r="B59" s="34"/>
      <c r="C59" s="33"/>
      <c r="D59" s="33" t="s">
        <v>532</v>
      </c>
      <c r="E59" s="35"/>
      <c r="F59" s="36"/>
      <c r="G59" s="33"/>
      <c r="H59" s="33"/>
      <c r="I59" s="36">
        <f>SUM(I60:I69)</f>
        <v>14771.630000000001</v>
      </c>
      <c r="J59" s="37">
        <f>I59 / H127</f>
        <v>2.6780289343871909E-2</v>
      </c>
      <c r="K59" s="38">
        <f t="shared" si="6"/>
        <v>0</v>
      </c>
    </row>
    <row r="60" spans="1:11" ht="33" customHeight="1">
      <c r="A60" s="17" t="s">
        <v>627</v>
      </c>
      <c r="B60" s="19" t="s">
        <v>534</v>
      </c>
      <c r="C60" s="17" t="s">
        <v>29</v>
      </c>
      <c r="D60" s="39" t="s">
        <v>535</v>
      </c>
      <c r="E60" s="18" t="s">
        <v>33</v>
      </c>
      <c r="F60" s="40">
        <v>51</v>
      </c>
      <c r="G60" s="40">
        <f>CPU!J289</f>
        <v>8.3000000000000007</v>
      </c>
      <c r="H60" s="40">
        <f t="shared" si="1"/>
        <v>10.69</v>
      </c>
      <c r="I60" s="40">
        <f t="shared" ref="I60:I69" si="22">TRUNC(F60 * H60, 2)</f>
        <v>545.19000000000005</v>
      </c>
      <c r="J60" s="41">
        <f>I60 / H127</f>
        <v>9.8840452593150019E-4</v>
      </c>
      <c r="K60" s="38">
        <f t="shared" si="6"/>
        <v>423.3</v>
      </c>
    </row>
    <row r="61" spans="1:11" ht="33" customHeight="1">
      <c r="A61" s="17" t="s">
        <v>628</v>
      </c>
      <c r="B61" s="19" t="s">
        <v>309</v>
      </c>
      <c r="C61" s="17" t="s">
        <v>29</v>
      </c>
      <c r="D61" s="39" t="s">
        <v>352</v>
      </c>
      <c r="E61" s="18" t="s">
        <v>33</v>
      </c>
      <c r="F61" s="40">
        <v>1</v>
      </c>
      <c r="G61" s="40">
        <f>CPU!J295</f>
        <v>476.91</v>
      </c>
      <c r="H61" s="40">
        <f t="shared" si="1"/>
        <v>614.35</v>
      </c>
      <c r="I61" s="40">
        <f t="shared" si="22"/>
        <v>614.35</v>
      </c>
      <c r="J61" s="41">
        <f>I61 / H127</f>
        <v>1.1137884416552342E-3</v>
      </c>
      <c r="K61" s="38">
        <f t="shared" si="6"/>
        <v>476.91</v>
      </c>
    </row>
    <row r="62" spans="1:11" ht="33" customHeight="1">
      <c r="A62" s="17" t="s">
        <v>629</v>
      </c>
      <c r="B62" s="19" t="s">
        <v>537</v>
      </c>
      <c r="C62" s="17" t="s">
        <v>29</v>
      </c>
      <c r="D62" s="39" t="s">
        <v>538</v>
      </c>
      <c r="E62" s="18" t="s">
        <v>33</v>
      </c>
      <c r="F62" s="40">
        <v>1</v>
      </c>
      <c r="G62" s="40">
        <f>CPU!J305</f>
        <v>727.29</v>
      </c>
      <c r="H62" s="40">
        <f t="shared" si="1"/>
        <v>936.89</v>
      </c>
      <c r="I62" s="40">
        <f t="shared" si="22"/>
        <v>936.89</v>
      </c>
      <c r="J62" s="41">
        <f>I62 / H127</f>
        <v>1.698538704488276E-3</v>
      </c>
      <c r="K62" s="38">
        <f t="shared" ref="K62:K63" si="23">TRUNC(F62*G62,2)</f>
        <v>727.29</v>
      </c>
    </row>
    <row r="63" spans="1:11" ht="33" customHeight="1">
      <c r="A63" s="17" t="s">
        <v>630</v>
      </c>
      <c r="B63" s="19" t="s">
        <v>427</v>
      </c>
      <c r="C63" s="17" t="s">
        <v>29</v>
      </c>
      <c r="D63" s="39" t="s">
        <v>539</v>
      </c>
      <c r="E63" s="18" t="s">
        <v>33</v>
      </c>
      <c r="F63" s="40">
        <v>14</v>
      </c>
      <c r="G63" s="40">
        <f>CPU!J314</f>
        <v>107.4</v>
      </c>
      <c r="H63" s="40">
        <f t="shared" si="1"/>
        <v>138.35</v>
      </c>
      <c r="I63" s="40">
        <f t="shared" si="22"/>
        <v>1936.9</v>
      </c>
      <c r="J63" s="41">
        <f>I63 / H127</f>
        <v>3.5115110810483002E-3</v>
      </c>
      <c r="K63" s="38">
        <f t="shared" si="23"/>
        <v>1503.6</v>
      </c>
    </row>
    <row r="64" spans="1:11" ht="21" customHeight="1">
      <c r="A64" s="17" t="s">
        <v>631</v>
      </c>
      <c r="B64" s="19" t="s">
        <v>540</v>
      </c>
      <c r="C64" s="17" t="s">
        <v>29</v>
      </c>
      <c r="D64" s="39" t="s">
        <v>541</v>
      </c>
      <c r="E64" s="18" t="s">
        <v>33</v>
      </c>
      <c r="F64" s="40">
        <v>31</v>
      </c>
      <c r="G64" s="40">
        <f>CPU!J322</f>
        <v>96.1</v>
      </c>
      <c r="H64" s="40">
        <f t="shared" si="1"/>
        <v>123.79</v>
      </c>
      <c r="I64" s="40">
        <f t="shared" si="22"/>
        <v>3837.49</v>
      </c>
      <c r="J64" s="41">
        <f>I64 / H127</f>
        <v>6.9571937933873926E-3</v>
      </c>
      <c r="K64" s="38">
        <f t="shared" si="6"/>
        <v>2979.1</v>
      </c>
    </row>
    <row r="65" spans="1:11" ht="21" customHeight="1">
      <c r="A65" s="17" t="s">
        <v>632</v>
      </c>
      <c r="B65" s="19" t="s">
        <v>423</v>
      </c>
      <c r="C65" s="17" t="s">
        <v>29</v>
      </c>
      <c r="D65" s="39" t="s">
        <v>424</v>
      </c>
      <c r="E65" s="18" t="s">
        <v>33</v>
      </c>
      <c r="F65" s="40">
        <v>6</v>
      </c>
      <c r="G65" s="40">
        <f>CPU!J330</f>
        <v>74.209999999999994</v>
      </c>
      <c r="H65" s="40">
        <f t="shared" si="1"/>
        <v>95.59</v>
      </c>
      <c r="I65" s="40">
        <f t="shared" si="22"/>
        <v>573.54</v>
      </c>
      <c r="J65" s="41">
        <f>I65 / H127</f>
        <v>1.0398017788344478E-3</v>
      </c>
      <c r="K65" s="38">
        <f t="shared" si="6"/>
        <v>445.26</v>
      </c>
    </row>
    <row r="66" spans="1:11" ht="21" customHeight="1">
      <c r="A66" s="17" t="s">
        <v>633</v>
      </c>
      <c r="B66" s="19" t="s">
        <v>542</v>
      </c>
      <c r="C66" s="17" t="s">
        <v>29</v>
      </c>
      <c r="D66" s="39" t="s">
        <v>543</v>
      </c>
      <c r="E66" s="18" t="s">
        <v>33</v>
      </c>
      <c r="F66" s="40">
        <v>2</v>
      </c>
      <c r="G66" s="40">
        <f>CPU!J338</f>
        <v>373.05</v>
      </c>
      <c r="H66" s="40">
        <f t="shared" si="1"/>
        <v>480.56</v>
      </c>
      <c r="I66" s="40">
        <f t="shared" si="22"/>
        <v>961.12</v>
      </c>
      <c r="J66" s="41">
        <f>I66 / H127</f>
        <v>1.7424665858935112E-3</v>
      </c>
      <c r="K66" s="38">
        <f t="shared" si="6"/>
        <v>746.1</v>
      </c>
    </row>
    <row r="67" spans="1:11" ht="21" customHeight="1">
      <c r="A67" s="17" t="s">
        <v>634</v>
      </c>
      <c r="B67" s="19" t="s">
        <v>421</v>
      </c>
      <c r="C67" s="17" t="s">
        <v>29</v>
      </c>
      <c r="D67" s="39" t="s">
        <v>422</v>
      </c>
      <c r="E67" s="18" t="s">
        <v>33</v>
      </c>
      <c r="F67" s="40">
        <v>30</v>
      </c>
      <c r="G67" s="40">
        <f>CPU!J346</f>
        <v>12.45</v>
      </c>
      <c r="H67" s="40">
        <f t="shared" si="1"/>
        <v>16.03</v>
      </c>
      <c r="I67" s="40">
        <f t="shared" si="22"/>
        <v>480.9</v>
      </c>
      <c r="J67" s="41">
        <f>I67 / H127</f>
        <v>8.7184969739074157E-4</v>
      </c>
      <c r="K67" s="38">
        <f t="shared" si="6"/>
        <v>373.5</v>
      </c>
    </row>
    <row r="68" spans="1:11" ht="21" customHeight="1">
      <c r="A68" s="17" t="s">
        <v>635</v>
      </c>
      <c r="B68" s="19" t="s">
        <v>405</v>
      </c>
      <c r="C68" s="17" t="s">
        <v>29</v>
      </c>
      <c r="D68" s="39" t="s">
        <v>544</v>
      </c>
      <c r="E68" s="18" t="s">
        <v>33</v>
      </c>
      <c r="F68" s="40">
        <v>1</v>
      </c>
      <c r="G68" s="40">
        <f>CPU!J354</f>
        <v>49.79</v>
      </c>
      <c r="H68" s="40">
        <f t="shared" si="1"/>
        <v>64.13</v>
      </c>
      <c r="I68" s="40">
        <f t="shared" si="22"/>
        <v>64.13</v>
      </c>
      <c r="J68" s="41">
        <f>I68 / H127</f>
        <v>1.1626475586123571E-4</v>
      </c>
      <c r="K68" s="38">
        <f t="shared" ref="K68" si="24">TRUNC(F68*G68,2)</f>
        <v>49.79</v>
      </c>
    </row>
    <row r="69" spans="1:11" ht="21" customHeight="1">
      <c r="A69" s="17" t="s">
        <v>636</v>
      </c>
      <c r="B69" s="19" t="s">
        <v>545</v>
      </c>
      <c r="C69" s="17" t="s">
        <v>29</v>
      </c>
      <c r="D69" s="39" t="s">
        <v>546</v>
      </c>
      <c r="E69" s="18" t="s">
        <v>33</v>
      </c>
      <c r="F69" s="40">
        <v>12</v>
      </c>
      <c r="G69" s="40">
        <f>CPU!J364</f>
        <v>311.88</v>
      </c>
      <c r="H69" s="40">
        <f t="shared" si="1"/>
        <v>401.76</v>
      </c>
      <c r="I69" s="40">
        <f t="shared" si="22"/>
        <v>4821.12</v>
      </c>
      <c r="J69" s="41">
        <f>I69 / H127</f>
        <v>8.7404699793812695E-3</v>
      </c>
      <c r="K69" s="38">
        <f t="shared" si="6"/>
        <v>3742.56</v>
      </c>
    </row>
    <row r="70" spans="1:11" s="16" customFormat="1" ht="21" customHeight="1">
      <c r="A70" s="33" t="s">
        <v>637</v>
      </c>
      <c r="B70" s="34"/>
      <c r="C70" s="33"/>
      <c r="D70" s="33" t="s">
        <v>462</v>
      </c>
      <c r="E70" s="35"/>
      <c r="F70" s="36"/>
      <c r="G70" s="33"/>
      <c r="H70" s="33"/>
      <c r="I70" s="36">
        <f>SUM(I71:I75)</f>
        <v>6987.5</v>
      </c>
      <c r="J70" s="37">
        <f>I70 / H127</f>
        <v>1.2668017801035157E-2</v>
      </c>
      <c r="K70" s="38">
        <f t="shared" si="6"/>
        <v>0</v>
      </c>
    </row>
    <row r="71" spans="1:11" ht="21" customHeight="1">
      <c r="A71" s="17" t="s">
        <v>638</v>
      </c>
      <c r="B71" s="19" t="s">
        <v>549</v>
      </c>
      <c r="C71" s="17" t="s">
        <v>29</v>
      </c>
      <c r="D71" s="39" t="s">
        <v>550</v>
      </c>
      <c r="E71" s="18" t="s">
        <v>33</v>
      </c>
      <c r="F71" s="40">
        <v>1</v>
      </c>
      <c r="G71" s="40">
        <f>CPU!J372</f>
        <v>808.64</v>
      </c>
      <c r="H71" s="40">
        <f t="shared" ref="H71:H123" si="25">TRUNC(G71 * (1 + 28.82 / 100), 2)</f>
        <v>1041.69</v>
      </c>
      <c r="I71" s="40">
        <f t="shared" ref="I71:I75" si="26">TRUNC(F71 * H71, 2)</f>
        <v>1041.69</v>
      </c>
      <c r="J71" s="41">
        <f>I71 / H127</f>
        <v>1.8885363095757157E-3</v>
      </c>
      <c r="K71" s="38">
        <f t="shared" si="6"/>
        <v>808.64</v>
      </c>
    </row>
    <row r="72" spans="1:11" ht="21" customHeight="1">
      <c r="A72" s="17" t="s">
        <v>639</v>
      </c>
      <c r="B72" s="19" t="s">
        <v>551</v>
      </c>
      <c r="C72" s="17" t="s">
        <v>29</v>
      </c>
      <c r="D72" s="39" t="s">
        <v>552</v>
      </c>
      <c r="E72" s="18" t="s">
        <v>33</v>
      </c>
      <c r="F72" s="40">
        <v>2</v>
      </c>
      <c r="G72" s="40">
        <f>CPU!J391</f>
        <v>165.82</v>
      </c>
      <c r="H72" s="40">
        <f t="shared" si="25"/>
        <v>213.6</v>
      </c>
      <c r="I72" s="40">
        <f t="shared" si="26"/>
        <v>427.2</v>
      </c>
      <c r="J72" s="41">
        <f>I72 / H127</f>
        <v>7.7449405432589895E-4</v>
      </c>
      <c r="K72" s="38">
        <f t="shared" si="6"/>
        <v>331.64</v>
      </c>
    </row>
    <row r="73" spans="1:11" ht="21" customHeight="1">
      <c r="A73" s="17" t="s">
        <v>640</v>
      </c>
      <c r="B73" s="19" t="s">
        <v>553</v>
      </c>
      <c r="C73" s="17" t="s">
        <v>29</v>
      </c>
      <c r="D73" s="39" t="s">
        <v>554</v>
      </c>
      <c r="E73" s="18" t="s">
        <v>33</v>
      </c>
      <c r="F73" s="40">
        <v>1</v>
      </c>
      <c r="G73" s="40">
        <f>CPU!J401</f>
        <v>1682.73</v>
      </c>
      <c r="H73" s="40">
        <f t="shared" si="25"/>
        <v>2167.69</v>
      </c>
      <c r="I73" s="40">
        <f t="shared" si="26"/>
        <v>2167.69</v>
      </c>
      <c r="J73" s="41">
        <f>I73 / H127</f>
        <v>3.9299227917174813E-3</v>
      </c>
      <c r="K73" s="38">
        <f t="shared" si="6"/>
        <v>1682.73</v>
      </c>
    </row>
    <row r="74" spans="1:11" ht="21" customHeight="1">
      <c r="A74" s="17" t="s">
        <v>641</v>
      </c>
      <c r="B74" s="19" t="s">
        <v>555</v>
      </c>
      <c r="C74" s="17" t="s">
        <v>29</v>
      </c>
      <c r="D74" s="39" t="s">
        <v>556</v>
      </c>
      <c r="E74" s="18" t="s">
        <v>33</v>
      </c>
      <c r="F74" s="40">
        <v>2</v>
      </c>
      <c r="G74" s="40">
        <f>CPU!J413</f>
        <v>36.32</v>
      </c>
      <c r="H74" s="40">
        <f t="shared" si="25"/>
        <v>46.78</v>
      </c>
      <c r="I74" s="40">
        <f t="shared" si="26"/>
        <v>93.56</v>
      </c>
      <c r="J74" s="41">
        <f>I74 / H127</f>
        <v>1.6961999935096234E-4</v>
      </c>
      <c r="K74" s="38">
        <f t="shared" si="6"/>
        <v>72.64</v>
      </c>
    </row>
    <row r="75" spans="1:11" ht="33" customHeight="1">
      <c r="A75" s="17" t="s">
        <v>642</v>
      </c>
      <c r="B75" s="19" t="s">
        <v>557</v>
      </c>
      <c r="C75" s="17" t="s">
        <v>66</v>
      </c>
      <c r="D75" s="39" t="s">
        <v>558</v>
      </c>
      <c r="E75" s="18" t="s">
        <v>33</v>
      </c>
      <c r="F75" s="40">
        <v>1</v>
      </c>
      <c r="G75" s="40">
        <f>CPU!J421</f>
        <v>2528.62</v>
      </c>
      <c r="H75" s="40">
        <f t="shared" si="25"/>
        <v>3257.36</v>
      </c>
      <c r="I75" s="40">
        <f t="shared" si="26"/>
        <v>3257.36</v>
      </c>
      <c r="J75" s="41">
        <f>I75 / H127</f>
        <v>5.9054446460650991E-3</v>
      </c>
      <c r="K75" s="38">
        <f t="shared" si="6"/>
        <v>2528.62</v>
      </c>
    </row>
    <row r="76" spans="1:11" s="16" customFormat="1" ht="21" customHeight="1">
      <c r="A76" s="33" t="s">
        <v>291</v>
      </c>
      <c r="B76" s="34"/>
      <c r="C76" s="33"/>
      <c r="D76" s="33" t="s">
        <v>439</v>
      </c>
      <c r="E76" s="35"/>
      <c r="F76" s="36"/>
      <c r="G76" s="33"/>
      <c r="H76" s="33"/>
      <c r="I76" s="36">
        <f>SUM(I77:I81)</f>
        <v>29855.599999999999</v>
      </c>
      <c r="J76" s="37">
        <f>I76 / H127</f>
        <v>5.412683681725728E-2</v>
      </c>
      <c r="K76" s="38">
        <f t="shared" si="6"/>
        <v>0</v>
      </c>
    </row>
    <row r="77" spans="1:11" ht="21" customHeight="1">
      <c r="A77" s="17" t="s">
        <v>292</v>
      </c>
      <c r="B77" s="19" t="s">
        <v>563</v>
      </c>
      <c r="C77" s="17" t="s">
        <v>29</v>
      </c>
      <c r="D77" s="39" t="s">
        <v>564</v>
      </c>
      <c r="E77" s="18" t="s">
        <v>27</v>
      </c>
      <c r="F77" s="40">
        <v>100</v>
      </c>
      <c r="G77" s="40">
        <f>CPU!J433</f>
        <v>20.64</v>
      </c>
      <c r="H77" s="40">
        <f t="shared" si="25"/>
        <v>26.58</v>
      </c>
      <c r="I77" s="40">
        <f t="shared" ref="I77:I81" si="27">TRUNC(F77 * H77, 2)</f>
        <v>2658</v>
      </c>
      <c r="J77" s="41">
        <f>I77 / H127</f>
        <v>4.8188323885726579E-3</v>
      </c>
      <c r="K77" s="38">
        <f t="shared" si="6"/>
        <v>2064</v>
      </c>
    </row>
    <row r="78" spans="1:11" ht="21" customHeight="1">
      <c r="A78" s="17" t="s">
        <v>294</v>
      </c>
      <c r="B78" s="19" t="s">
        <v>559</v>
      </c>
      <c r="C78" s="17" t="s">
        <v>29</v>
      </c>
      <c r="D78" s="39" t="s">
        <v>560</v>
      </c>
      <c r="E78" s="18" t="s">
        <v>27</v>
      </c>
      <c r="F78" s="40">
        <v>100</v>
      </c>
      <c r="G78" s="40">
        <f>CPU!J439</f>
        <v>7.78</v>
      </c>
      <c r="H78" s="40">
        <f t="shared" si="25"/>
        <v>10.02</v>
      </c>
      <c r="I78" s="40">
        <f t="shared" si="27"/>
        <v>1002</v>
      </c>
      <c r="J78" s="41">
        <f>I78 / H127</f>
        <v>1.816580155511589E-3</v>
      </c>
      <c r="K78" s="38">
        <f t="shared" si="6"/>
        <v>778</v>
      </c>
    </row>
    <row r="79" spans="1:11" ht="21" customHeight="1">
      <c r="A79" s="17" t="s">
        <v>345</v>
      </c>
      <c r="B79" s="19" t="s">
        <v>561</v>
      </c>
      <c r="C79" s="17" t="s">
        <v>29</v>
      </c>
      <c r="D79" s="39" t="s">
        <v>562</v>
      </c>
      <c r="E79" s="18" t="s">
        <v>27</v>
      </c>
      <c r="F79" s="40">
        <v>100</v>
      </c>
      <c r="G79" s="40">
        <f>CPU!J446</f>
        <v>29.8</v>
      </c>
      <c r="H79" s="40">
        <f t="shared" si="25"/>
        <v>38.380000000000003</v>
      </c>
      <c r="I79" s="40">
        <f t="shared" si="27"/>
        <v>3838</v>
      </c>
      <c r="J79" s="41">
        <f>I79 / H127</f>
        <v>6.9581184000533716E-3</v>
      </c>
      <c r="K79" s="38">
        <f t="shared" si="6"/>
        <v>2980</v>
      </c>
    </row>
    <row r="80" spans="1:11" ht="21" customHeight="1">
      <c r="A80" s="17" t="s">
        <v>346</v>
      </c>
      <c r="B80" s="19" t="s">
        <v>348</v>
      </c>
      <c r="C80" s="17" t="s">
        <v>29</v>
      </c>
      <c r="D80" s="39" t="s">
        <v>565</v>
      </c>
      <c r="E80" s="18" t="s">
        <v>27</v>
      </c>
      <c r="F80" s="40">
        <v>100</v>
      </c>
      <c r="G80" s="40">
        <f>CPU!J453</f>
        <v>71.67</v>
      </c>
      <c r="H80" s="40">
        <f t="shared" si="25"/>
        <v>92.32</v>
      </c>
      <c r="I80" s="40">
        <f t="shared" si="27"/>
        <v>9232</v>
      </c>
      <c r="J80" s="41">
        <f>I80 / H127</f>
        <v>1.6737193608466056E-2</v>
      </c>
      <c r="K80" s="38">
        <f t="shared" ref="K80:K120" si="28">TRUNC(F80*G80,2)</f>
        <v>7167</v>
      </c>
    </row>
    <row r="81" spans="1:11" ht="21" customHeight="1">
      <c r="A81" s="17" t="s">
        <v>347</v>
      </c>
      <c r="B81" s="19" t="s">
        <v>643</v>
      </c>
      <c r="C81" s="17" t="s">
        <v>66</v>
      </c>
      <c r="D81" s="39" t="s">
        <v>644</v>
      </c>
      <c r="E81" s="18" t="s">
        <v>27</v>
      </c>
      <c r="F81" s="40">
        <v>80</v>
      </c>
      <c r="G81" s="40">
        <f>CPU!J462</f>
        <v>127.37</v>
      </c>
      <c r="H81" s="40">
        <f t="shared" si="25"/>
        <v>164.07</v>
      </c>
      <c r="I81" s="40">
        <f t="shared" si="27"/>
        <v>13125.6</v>
      </c>
      <c r="J81" s="41">
        <f>I81 / H127</f>
        <v>2.3796112264653606E-2</v>
      </c>
      <c r="K81" s="38">
        <f t="shared" si="28"/>
        <v>10189.6</v>
      </c>
    </row>
    <row r="82" spans="1:11" s="16" customFormat="1" ht="21" customHeight="1">
      <c r="A82" s="33" t="s">
        <v>295</v>
      </c>
      <c r="B82" s="34"/>
      <c r="C82" s="33"/>
      <c r="D82" s="33" t="s">
        <v>440</v>
      </c>
      <c r="E82" s="35"/>
      <c r="F82" s="36"/>
      <c r="G82" s="33"/>
      <c r="H82" s="33"/>
      <c r="I82" s="36">
        <f>I83+I89+I95</f>
        <v>74786.899999999994</v>
      </c>
      <c r="J82" s="37">
        <f>I82 / H127</f>
        <v>0.13558522797627709</v>
      </c>
      <c r="K82" s="38">
        <f t="shared" si="28"/>
        <v>0</v>
      </c>
    </row>
    <row r="83" spans="1:11" s="16" customFormat="1" ht="21" customHeight="1">
      <c r="A83" s="33" t="s">
        <v>296</v>
      </c>
      <c r="B83" s="34"/>
      <c r="C83" s="33"/>
      <c r="D83" s="33" t="s">
        <v>645</v>
      </c>
      <c r="E83" s="35"/>
      <c r="F83" s="36"/>
      <c r="G83" s="33"/>
      <c r="H83" s="33"/>
      <c r="I83" s="36">
        <f>SUM(I84:I88)</f>
        <v>18865.099999999999</v>
      </c>
      <c r="J83" s="37">
        <f>I83 / H127</f>
        <v>3.4201563165410849E-2</v>
      </c>
      <c r="K83" s="38">
        <f t="shared" ref="K83:K84" si="29">TRUNC(F83*G83,2)</f>
        <v>0</v>
      </c>
    </row>
    <row r="84" spans="1:11" ht="30" customHeight="1">
      <c r="A84" s="17" t="s">
        <v>481</v>
      </c>
      <c r="B84" s="19" t="s">
        <v>563</v>
      </c>
      <c r="C84" s="17" t="s">
        <v>29</v>
      </c>
      <c r="D84" s="39" t="s">
        <v>564</v>
      </c>
      <c r="E84" s="18" t="s">
        <v>27</v>
      </c>
      <c r="F84" s="40">
        <v>150</v>
      </c>
      <c r="G84" s="40">
        <f>CPU!J471</f>
        <v>20.64</v>
      </c>
      <c r="H84" s="40">
        <f t="shared" si="25"/>
        <v>26.58</v>
      </c>
      <c r="I84" s="40">
        <f t="shared" ref="I84:I88" si="30">TRUNC(F84 * H84, 2)</f>
        <v>3987</v>
      </c>
      <c r="J84" s="41">
        <f>I84 / H127</f>
        <v>7.2282485828589873E-3</v>
      </c>
      <c r="K84" s="38">
        <f t="shared" si="29"/>
        <v>3096</v>
      </c>
    </row>
    <row r="85" spans="1:11" ht="30" customHeight="1">
      <c r="A85" s="17" t="s">
        <v>484</v>
      </c>
      <c r="B85" s="19" t="s">
        <v>566</v>
      </c>
      <c r="C85" s="17" t="s">
        <v>29</v>
      </c>
      <c r="D85" s="39" t="s">
        <v>567</v>
      </c>
      <c r="E85" s="18" t="s">
        <v>32</v>
      </c>
      <c r="F85" s="40">
        <v>100</v>
      </c>
      <c r="G85" s="40">
        <f>CPU!J477</f>
        <v>2.36</v>
      </c>
      <c r="H85" s="40">
        <f t="shared" si="25"/>
        <v>3.04</v>
      </c>
      <c r="I85" s="40">
        <f t="shared" si="30"/>
        <v>304</v>
      </c>
      <c r="J85" s="41">
        <f>I85 / H127</f>
        <v>5.5113809109333639E-4</v>
      </c>
      <c r="K85" s="38">
        <f t="shared" si="28"/>
        <v>236</v>
      </c>
    </row>
    <row r="86" spans="1:11" ht="30" customHeight="1">
      <c r="A86" s="17" t="s">
        <v>487</v>
      </c>
      <c r="B86" s="19" t="s">
        <v>568</v>
      </c>
      <c r="C86" s="17" t="s">
        <v>29</v>
      </c>
      <c r="D86" s="39" t="s">
        <v>569</v>
      </c>
      <c r="E86" s="18" t="s">
        <v>27</v>
      </c>
      <c r="F86" s="40">
        <v>60</v>
      </c>
      <c r="G86" s="40">
        <f>CPU!J483</f>
        <v>37.659999999999997</v>
      </c>
      <c r="H86" s="40">
        <f t="shared" si="25"/>
        <v>48.51</v>
      </c>
      <c r="I86" s="40">
        <f t="shared" si="30"/>
        <v>2910.6</v>
      </c>
      <c r="J86" s="41">
        <f>I86 / H127</f>
        <v>5.2767846313692924E-3</v>
      </c>
      <c r="K86" s="38">
        <f t="shared" si="28"/>
        <v>2259.6</v>
      </c>
    </row>
    <row r="87" spans="1:11" ht="30" customHeight="1">
      <c r="A87" s="17" t="s">
        <v>646</v>
      </c>
      <c r="B87" s="19" t="s">
        <v>349</v>
      </c>
      <c r="C87" s="17" t="s">
        <v>29</v>
      </c>
      <c r="D87" s="39" t="s">
        <v>570</v>
      </c>
      <c r="E87" s="18" t="s">
        <v>27</v>
      </c>
      <c r="F87" s="40">
        <v>150</v>
      </c>
      <c r="G87" s="40">
        <f>CPU!J491</f>
        <v>55.25</v>
      </c>
      <c r="H87" s="40">
        <f t="shared" si="25"/>
        <v>71.17</v>
      </c>
      <c r="I87" s="40">
        <f t="shared" si="30"/>
        <v>10675.5</v>
      </c>
      <c r="J87" s="41">
        <f>I87 / H127</f>
        <v>1.9354193064035897E-2</v>
      </c>
      <c r="K87" s="38">
        <f t="shared" si="28"/>
        <v>8287.5</v>
      </c>
    </row>
    <row r="88" spans="1:11" ht="30" customHeight="1">
      <c r="A88" s="17" t="s">
        <v>647</v>
      </c>
      <c r="B88" s="19" t="s">
        <v>571</v>
      </c>
      <c r="C88" s="17" t="s">
        <v>29</v>
      </c>
      <c r="D88" s="39" t="s">
        <v>572</v>
      </c>
      <c r="E88" s="18" t="s">
        <v>32</v>
      </c>
      <c r="F88" s="40">
        <v>100</v>
      </c>
      <c r="G88" s="40">
        <f>CPU!J500</f>
        <v>7.67</v>
      </c>
      <c r="H88" s="40">
        <f t="shared" si="25"/>
        <v>9.8800000000000008</v>
      </c>
      <c r="I88" s="40">
        <f t="shared" si="30"/>
        <v>988</v>
      </c>
      <c r="J88" s="41">
        <f>I88 / H127</f>
        <v>1.7911987960533432E-3</v>
      </c>
      <c r="K88" s="38">
        <f t="shared" si="28"/>
        <v>767</v>
      </c>
    </row>
    <row r="89" spans="1:11" s="16" customFormat="1" ht="21" customHeight="1">
      <c r="A89" s="33" t="s">
        <v>297</v>
      </c>
      <c r="B89" s="34"/>
      <c r="C89" s="33"/>
      <c r="D89" s="33" t="s">
        <v>648</v>
      </c>
      <c r="E89" s="35"/>
      <c r="F89" s="36"/>
      <c r="G89" s="33"/>
      <c r="H89" s="33"/>
      <c r="I89" s="36">
        <f>SUM(I90:I94)</f>
        <v>12925</v>
      </c>
      <c r="J89" s="37">
        <f>I89 / H127</f>
        <v>2.3432433642701884E-2</v>
      </c>
      <c r="K89" s="38">
        <f t="shared" si="28"/>
        <v>0</v>
      </c>
    </row>
    <row r="90" spans="1:11" ht="21" customHeight="1">
      <c r="A90" s="17" t="s">
        <v>491</v>
      </c>
      <c r="B90" s="19" t="s">
        <v>649</v>
      </c>
      <c r="C90" s="17" t="s">
        <v>29</v>
      </c>
      <c r="D90" s="39" t="s">
        <v>650</v>
      </c>
      <c r="E90" s="18" t="s">
        <v>31</v>
      </c>
      <c r="F90" s="40">
        <v>20.97</v>
      </c>
      <c r="G90" s="40">
        <f>CPU!J509</f>
        <v>95.49</v>
      </c>
      <c r="H90" s="40">
        <f t="shared" si="25"/>
        <v>123.01</v>
      </c>
      <c r="I90" s="40">
        <f t="shared" ref="I90:I99" si="31">TRUNC(F90 * H90, 2)</f>
        <v>2579.5100000000002</v>
      </c>
      <c r="J90" s="41">
        <f>I90 / H127</f>
        <v>4.6765336097242503E-3</v>
      </c>
      <c r="K90" s="38">
        <f t="shared" si="28"/>
        <v>2002.42</v>
      </c>
    </row>
    <row r="91" spans="1:11" ht="21" customHeight="1">
      <c r="A91" s="17" t="s">
        <v>493</v>
      </c>
      <c r="B91" s="19" t="s">
        <v>307</v>
      </c>
      <c r="C91" s="17" t="s">
        <v>29</v>
      </c>
      <c r="D91" s="39" t="s">
        <v>651</v>
      </c>
      <c r="E91" s="18" t="s">
        <v>31</v>
      </c>
      <c r="F91" s="40">
        <v>7</v>
      </c>
      <c r="G91" s="40">
        <f>CPU!J519</f>
        <v>73.599999999999994</v>
      </c>
      <c r="H91" s="40">
        <f t="shared" si="25"/>
        <v>94.81</v>
      </c>
      <c r="I91" s="40">
        <f t="shared" si="31"/>
        <v>663.67</v>
      </c>
      <c r="J91" s="41">
        <f>I91 / H127</f>
        <v>1.2032033451181399E-3</v>
      </c>
      <c r="K91" s="38">
        <f t="shared" si="28"/>
        <v>515.20000000000005</v>
      </c>
    </row>
    <row r="92" spans="1:11" ht="21" customHeight="1">
      <c r="A92" s="17" t="s">
        <v>496</v>
      </c>
      <c r="B92" s="19" t="s">
        <v>652</v>
      </c>
      <c r="C92" s="17" t="s">
        <v>29</v>
      </c>
      <c r="D92" s="39" t="s">
        <v>653</v>
      </c>
      <c r="E92" s="18" t="s">
        <v>31</v>
      </c>
      <c r="F92" s="40">
        <v>3.1480000000000001</v>
      </c>
      <c r="G92" s="40">
        <f>CPU!J528</f>
        <v>741.52</v>
      </c>
      <c r="H92" s="40">
        <f t="shared" si="25"/>
        <v>955.22</v>
      </c>
      <c r="I92" s="40">
        <f t="shared" si="31"/>
        <v>3007.03</v>
      </c>
      <c r="J92" s="41">
        <f>I92 / H127</f>
        <v>5.4516078094091949E-3</v>
      </c>
      <c r="K92" s="38">
        <f t="shared" si="28"/>
        <v>2334.3000000000002</v>
      </c>
    </row>
    <row r="93" spans="1:11" ht="21" customHeight="1">
      <c r="A93" s="17" t="s">
        <v>498</v>
      </c>
      <c r="B93" s="19" t="s">
        <v>654</v>
      </c>
      <c r="C93" s="17" t="s">
        <v>29</v>
      </c>
      <c r="D93" s="39" t="s">
        <v>655</v>
      </c>
      <c r="E93" s="18" t="s">
        <v>27</v>
      </c>
      <c r="F93" s="40">
        <v>31.48</v>
      </c>
      <c r="G93" s="40">
        <f>CPU!J535</f>
        <v>53.3</v>
      </c>
      <c r="H93" s="40">
        <f t="shared" si="25"/>
        <v>68.66</v>
      </c>
      <c r="I93" s="40">
        <f t="shared" si="31"/>
        <v>2161.41</v>
      </c>
      <c r="J93" s="41">
        <f>I93 / H127</f>
        <v>3.9185374390462106E-3</v>
      </c>
      <c r="K93" s="38">
        <f t="shared" si="28"/>
        <v>1677.88</v>
      </c>
    </row>
    <row r="94" spans="1:11" ht="21" customHeight="1">
      <c r="A94" s="17" t="s">
        <v>501</v>
      </c>
      <c r="B94" s="19" t="s">
        <v>656</v>
      </c>
      <c r="C94" s="17" t="s">
        <v>29</v>
      </c>
      <c r="D94" s="39" t="s">
        <v>657</v>
      </c>
      <c r="E94" s="18" t="s">
        <v>27</v>
      </c>
      <c r="F94" s="40">
        <v>209.73</v>
      </c>
      <c r="G94" s="40">
        <f>CPU!J544</f>
        <v>16.71</v>
      </c>
      <c r="H94" s="40">
        <f t="shared" si="25"/>
        <v>21.52</v>
      </c>
      <c r="I94" s="40">
        <f t="shared" si="31"/>
        <v>4513.38</v>
      </c>
      <c r="J94" s="41">
        <f>I94 / H127</f>
        <v>8.1825514394040875E-3</v>
      </c>
      <c r="K94" s="38">
        <f t="shared" si="28"/>
        <v>3504.58</v>
      </c>
    </row>
    <row r="95" spans="1:11" s="16" customFormat="1" ht="21" customHeight="1">
      <c r="A95" s="33" t="s">
        <v>298</v>
      </c>
      <c r="B95" s="34"/>
      <c r="C95" s="33"/>
      <c r="D95" s="33" t="s">
        <v>658</v>
      </c>
      <c r="E95" s="35"/>
      <c r="F95" s="36"/>
      <c r="G95" s="33"/>
      <c r="H95" s="33"/>
      <c r="I95" s="36">
        <f>SUM(I96:I99)</f>
        <v>42996.800000000003</v>
      </c>
      <c r="J95" s="37">
        <f>I95 / H127</f>
        <v>7.7951231168164367E-2</v>
      </c>
      <c r="K95" s="38">
        <f t="shared" si="28"/>
        <v>0</v>
      </c>
    </row>
    <row r="96" spans="1:11" ht="21" customHeight="1">
      <c r="A96" s="17" t="s">
        <v>504</v>
      </c>
      <c r="B96" s="19" t="s">
        <v>659</v>
      </c>
      <c r="C96" s="17" t="s">
        <v>29</v>
      </c>
      <c r="D96" s="39" t="s">
        <v>660</v>
      </c>
      <c r="E96" s="18" t="s">
        <v>32</v>
      </c>
      <c r="F96" s="40">
        <v>60</v>
      </c>
      <c r="G96" s="40">
        <f>CPU!J551</f>
        <v>12.32</v>
      </c>
      <c r="H96" s="40">
        <f t="shared" si="25"/>
        <v>15.87</v>
      </c>
      <c r="I96" s="40">
        <f t="shared" si="31"/>
        <v>952.2</v>
      </c>
      <c r="J96" s="41">
        <f>I96 / H127</f>
        <v>1.7262950340101149E-3</v>
      </c>
      <c r="K96" s="38">
        <f t="shared" si="28"/>
        <v>739.2</v>
      </c>
    </row>
    <row r="97" spans="1:11" ht="21" customHeight="1">
      <c r="A97" s="17" t="s">
        <v>505</v>
      </c>
      <c r="B97" s="19" t="s">
        <v>661</v>
      </c>
      <c r="C97" s="17" t="s">
        <v>29</v>
      </c>
      <c r="D97" s="39" t="s">
        <v>662</v>
      </c>
      <c r="E97" s="18" t="s">
        <v>32</v>
      </c>
      <c r="F97" s="40">
        <v>60</v>
      </c>
      <c r="G97" s="40">
        <f>CPU!J561</f>
        <v>38.22</v>
      </c>
      <c r="H97" s="40">
        <f t="shared" si="25"/>
        <v>49.23</v>
      </c>
      <c r="I97" s="40">
        <f t="shared" si="31"/>
        <v>2953.8</v>
      </c>
      <c r="J97" s="41">
        <f>I97 / H127</f>
        <v>5.3551042548404511E-3</v>
      </c>
      <c r="K97" s="38">
        <f t="shared" si="28"/>
        <v>2293.1999999999998</v>
      </c>
    </row>
    <row r="98" spans="1:11" ht="21" customHeight="1">
      <c r="A98" s="17" t="s">
        <v>663</v>
      </c>
      <c r="B98" s="19" t="s">
        <v>664</v>
      </c>
      <c r="C98" s="17" t="s">
        <v>29</v>
      </c>
      <c r="D98" s="39" t="s">
        <v>665</v>
      </c>
      <c r="E98" s="18" t="s">
        <v>27</v>
      </c>
      <c r="F98" s="40">
        <v>230</v>
      </c>
      <c r="G98" s="40">
        <f>CPU!J573</f>
        <v>97.62</v>
      </c>
      <c r="H98" s="40">
        <f t="shared" si="25"/>
        <v>125.75</v>
      </c>
      <c r="I98" s="40">
        <f t="shared" si="31"/>
        <v>28922.5</v>
      </c>
      <c r="J98" s="41">
        <f>I98 / H127</f>
        <v>5.2435169209365202E-2</v>
      </c>
      <c r="K98" s="38">
        <f t="shared" si="28"/>
        <v>22452.6</v>
      </c>
    </row>
    <row r="99" spans="1:11" ht="21" customHeight="1">
      <c r="A99" s="17" t="s">
        <v>666</v>
      </c>
      <c r="B99" s="19" t="s">
        <v>667</v>
      </c>
      <c r="C99" s="17" t="s">
        <v>29</v>
      </c>
      <c r="D99" s="39" t="s">
        <v>668</v>
      </c>
      <c r="E99" s="18" t="s">
        <v>27</v>
      </c>
      <c r="F99" s="40">
        <v>230</v>
      </c>
      <c r="G99" s="40">
        <f>CPU!J582</f>
        <v>34.32</v>
      </c>
      <c r="H99" s="40">
        <f t="shared" si="25"/>
        <v>44.21</v>
      </c>
      <c r="I99" s="40">
        <f t="shared" si="31"/>
        <v>10168.299999999999</v>
      </c>
      <c r="J99" s="41">
        <f>I99 / H127</f>
        <v>1.8434662669948591E-2</v>
      </c>
      <c r="K99" s="38">
        <f t="shared" si="28"/>
        <v>7893.6</v>
      </c>
    </row>
    <row r="100" spans="1:11" s="16" customFormat="1" ht="21" customHeight="1">
      <c r="A100" s="33" t="s">
        <v>299</v>
      </c>
      <c r="B100" s="34"/>
      <c r="C100" s="33"/>
      <c r="D100" s="33" t="s">
        <v>441</v>
      </c>
      <c r="E100" s="35"/>
      <c r="F100" s="36"/>
      <c r="G100" s="33"/>
      <c r="H100" s="33"/>
      <c r="I100" s="36">
        <f>I101+I106+I109+I111+I116</f>
        <v>114453.02000000002</v>
      </c>
      <c r="J100" s="37">
        <f>I100 / H127</f>
        <v>0.20749808869298506</v>
      </c>
      <c r="K100" s="38">
        <f t="shared" si="28"/>
        <v>0</v>
      </c>
    </row>
    <row r="101" spans="1:11" s="16" customFormat="1" ht="21" customHeight="1">
      <c r="A101" s="33" t="s">
        <v>300</v>
      </c>
      <c r="B101" s="34"/>
      <c r="C101" s="33"/>
      <c r="D101" s="33" t="s">
        <v>669</v>
      </c>
      <c r="E101" s="35"/>
      <c r="F101" s="36"/>
      <c r="G101" s="33"/>
      <c r="H101" s="33"/>
      <c r="I101" s="36">
        <f>SUM(I102:I105)</f>
        <v>56564.480000000003</v>
      </c>
      <c r="J101" s="37">
        <f>I101 / H127</f>
        <v>0.10254881424633949</v>
      </c>
      <c r="K101" s="38">
        <f t="shared" si="28"/>
        <v>0</v>
      </c>
    </row>
    <row r="102" spans="1:11" ht="21" customHeight="1">
      <c r="A102" s="17" t="s">
        <v>525</v>
      </c>
      <c r="B102" s="19" t="s">
        <v>670</v>
      </c>
      <c r="C102" s="17" t="s">
        <v>29</v>
      </c>
      <c r="D102" s="39" t="s">
        <v>671</v>
      </c>
      <c r="E102" s="18" t="s">
        <v>27</v>
      </c>
      <c r="F102" s="40">
        <v>2692.94</v>
      </c>
      <c r="G102" s="40">
        <f>CPU!J593</f>
        <v>1.76</v>
      </c>
      <c r="H102" s="40">
        <f t="shared" si="25"/>
        <v>2.2599999999999998</v>
      </c>
      <c r="I102" s="40">
        <f t="shared" ref="I102:I121" si="32">TRUNC(F102 * H102, 2)</f>
        <v>6086.04</v>
      </c>
      <c r="J102" s="41">
        <f>I102 / H127</f>
        <v>1.1033712065518713E-2</v>
      </c>
      <c r="K102" s="38">
        <f t="shared" si="28"/>
        <v>4739.57</v>
      </c>
    </row>
    <row r="103" spans="1:11" ht="21" customHeight="1">
      <c r="A103" s="17" t="s">
        <v>528</v>
      </c>
      <c r="B103" s="19" t="s">
        <v>573</v>
      </c>
      <c r="C103" s="17" t="s">
        <v>29</v>
      </c>
      <c r="D103" s="39" t="s">
        <v>574</v>
      </c>
      <c r="E103" s="18" t="s">
        <v>27</v>
      </c>
      <c r="F103" s="40">
        <v>1322.26</v>
      </c>
      <c r="G103" s="40">
        <f>CPU!J599</f>
        <v>3.36</v>
      </c>
      <c r="H103" s="40">
        <f t="shared" si="25"/>
        <v>4.32</v>
      </c>
      <c r="I103" s="40">
        <f t="shared" si="32"/>
        <v>5712.16</v>
      </c>
      <c r="J103" s="41">
        <f>I103 / H127</f>
        <v>1.035588473164379E-2</v>
      </c>
      <c r="K103" s="38">
        <f t="shared" si="28"/>
        <v>4442.79</v>
      </c>
    </row>
    <row r="104" spans="1:11" ht="21" customHeight="1">
      <c r="A104" s="17" t="s">
        <v>672</v>
      </c>
      <c r="B104" s="19" t="s">
        <v>575</v>
      </c>
      <c r="C104" s="17" t="s">
        <v>29</v>
      </c>
      <c r="D104" s="39" t="s">
        <v>576</v>
      </c>
      <c r="E104" s="18" t="s">
        <v>27</v>
      </c>
      <c r="F104" s="40">
        <v>638.78</v>
      </c>
      <c r="G104" s="40">
        <f>CPU!J606</f>
        <v>27.75</v>
      </c>
      <c r="H104" s="40">
        <f t="shared" si="25"/>
        <v>35.74</v>
      </c>
      <c r="I104" s="40">
        <f t="shared" si="32"/>
        <v>22829.99</v>
      </c>
      <c r="J104" s="41">
        <f>I104 / H127</f>
        <v>4.1389727329868287E-2</v>
      </c>
      <c r="K104" s="38">
        <f t="shared" si="28"/>
        <v>17726.14</v>
      </c>
    </row>
    <row r="105" spans="1:11" ht="21" customHeight="1">
      <c r="A105" s="17" t="s">
        <v>673</v>
      </c>
      <c r="B105" s="19" t="s">
        <v>34</v>
      </c>
      <c r="C105" s="17" t="s">
        <v>29</v>
      </c>
      <c r="D105" s="39" t="s">
        <v>577</v>
      </c>
      <c r="E105" s="18" t="s">
        <v>27</v>
      </c>
      <c r="F105" s="40">
        <v>1322.26</v>
      </c>
      <c r="G105" s="40">
        <f>CPU!J614</f>
        <v>12.88</v>
      </c>
      <c r="H105" s="40">
        <f t="shared" si="25"/>
        <v>16.59</v>
      </c>
      <c r="I105" s="40">
        <f t="shared" si="32"/>
        <v>21936.29</v>
      </c>
      <c r="J105" s="41">
        <f>I105 / H127</f>
        <v>3.9769490119308699E-2</v>
      </c>
      <c r="K105" s="38">
        <f t="shared" si="28"/>
        <v>17030.7</v>
      </c>
    </row>
    <row r="106" spans="1:11" s="16" customFormat="1" ht="21" customHeight="1">
      <c r="A106" s="33" t="s">
        <v>531</v>
      </c>
      <c r="B106" s="34"/>
      <c r="C106" s="33"/>
      <c r="D106" s="33" t="s">
        <v>674</v>
      </c>
      <c r="E106" s="35"/>
      <c r="F106" s="36"/>
      <c r="G106" s="33"/>
      <c r="H106" s="33"/>
      <c r="I106" s="36">
        <f>SUM(I107:I108)</f>
        <v>27526.78</v>
      </c>
      <c r="J106" s="37">
        <f>I106 / H127</f>
        <v>4.990479270771786E-2</v>
      </c>
      <c r="K106" s="38">
        <f t="shared" si="28"/>
        <v>0</v>
      </c>
    </row>
    <row r="107" spans="1:11" ht="21" customHeight="1">
      <c r="A107" s="17" t="s">
        <v>533</v>
      </c>
      <c r="B107" s="19" t="s">
        <v>675</v>
      </c>
      <c r="C107" s="17" t="s">
        <v>29</v>
      </c>
      <c r="D107" s="39" t="s">
        <v>676</v>
      </c>
      <c r="E107" s="18" t="s">
        <v>27</v>
      </c>
      <c r="F107" s="40">
        <v>732.68</v>
      </c>
      <c r="G107" s="40">
        <f>CPU!J621</f>
        <v>18.16</v>
      </c>
      <c r="H107" s="40">
        <f t="shared" si="25"/>
        <v>23.39</v>
      </c>
      <c r="I107" s="40">
        <f t="shared" si="32"/>
        <v>17137.38</v>
      </c>
      <c r="J107" s="41">
        <f>I107 / H127</f>
        <v>3.1069285853753688E-2</v>
      </c>
      <c r="K107" s="38">
        <f t="shared" si="28"/>
        <v>13305.46</v>
      </c>
    </row>
    <row r="108" spans="1:11" ht="21" customHeight="1">
      <c r="A108" s="17" t="s">
        <v>536</v>
      </c>
      <c r="B108" s="19" t="s">
        <v>677</v>
      </c>
      <c r="C108" s="17" t="s">
        <v>29</v>
      </c>
      <c r="D108" s="39" t="s">
        <v>678</v>
      </c>
      <c r="E108" s="18" t="s">
        <v>27</v>
      </c>
      <c r="F108" s="40">
        <v>732.68</v>
      </c>
      <c r="G108" s="40">
        <f>CPU!J629</f>
        <v>11.01</v>
      </c>
      <c r="H108" s="40">
        <f t="shared" si="25"/>
        <v>14.18</v>
      </c>
      <c r="I108" s="40">
        <f t="shared" si="32"/>
        <v>10389.4</v>
      </c>
      <c r="J108" s="41">
        <f>I108 / H127</f>
        <v>1.8835506853964172E-2</v>
      </c>
      <c r="K108" s="38">
        <f t="shared" si="28"/>
        <v>8066.8</v>
      </c>
    </row>
    <row r="109" spans="1:11" s="16" customFormat="1" ht="21" customHeight="1">
      <c r="A109" s="33" t="s">
        <v>547</v>
      </c>
      <c r="B109" s="34"/>
      <c r="C109" s="33"/>
      <c r="D109" s="33" t="s">
        <v>679</v>
      </c>
      <c r="E109" s="35"/>
      <c r="F109" s="36"/>
      <c r="G109" s="33"/>
      <c r="H109" s="33"/>
      <c r="I109" s="36">
        <f>I110</f>
        <v>7362.52</v>
      </c>
      <c r="J109" s="37">
        <f>I109 / H127</f>
        <v>1.3347911902751681E-2</v>
      </c>
      <c r="K109" s="38">
        <f t="shared" si="28"/>
        <v>0</v>
      </c>
    </row>
    <row r="110" spans="1:11" ht="21" customHeight="1">
      <c r="A110" s="17" t="s">
        <v>548</v>
      </c>
      <c r="B110" s="19" t="s">
        <v>680</v>
      </c>
      <c r="C110" s="17" t="s">
        <v>29</v>
      </c>
      <c r="D110" s="39" t="s">
        <v>681</v>
      </c>
      <c r="E110" s="18" t="s">
        <v>27</v>
      </c>
      <c r="F110" s="40">
        <v>638</v>
      </c>
      <c r="G110" s="40">
        <f>CPU!J636</f>
        <v>8.9600000000000009</v>
      </c>
      <c r="H110" s="40">
        <f t="shared" si="25"/>
        <v>11.54</v>
      </c>
      <c r="I110" s="40">
        <f t="shared" si="32"/>
        <v>7362.52</v>
      </c>
      <c r="J110" s="41">
        <f>I110 / H127</f>
        <v>1.3347911902751681E-2</v>
      </c>
      <c r="K110" s="38">
        <f t="shared" si="28"/>
        <v>5716.48</v>
      </c>
    </row>
    <row r="111" spans="1:11" s="16" customFormat="1" ht="21" customHeight="1">
      <c r="A111" s="33" t="s">
        <v>682</v>
      </c>
      <c r="B111" s="34"/>
      <c r="C111" s="33"/>
      <c r="D111" s="33" t="s">
        <v>467</v>
      </c>
      <c r="E111" s="35"/>
      <c r="F111" s="36"/>
      <c r="G111" s="33"/>
      <c r="H111" s="33"/>
      <c r="I111" s="36">
        <f>SUM(I112:I115)</f>
        <v>18097.370000000003</v>
      </c>
      <c r="J111" s="37">
        <f>I111 / H127</f>
        <v>3.2809703801348074E-2</v>
      </c>
      <c r="K111" s="38">
        <f t="shared" si="28"/>
        <v>0</v>
      </c>
    </row>
    <row r="112" spans="1:11" ht="21" customHeight="1">
      <c r="A112" s="17" t="s">
        <v>683</v>
      </c>
      <c r="B112" s="19" t="s">
        <v>578</v>
      </c>
      <c r="C112" s="17" t="s">
        <v>29</v>
      </c>
      <c r="D112" s="39" t="s">
        <v>579</v>
      </c>
      <c r="E112" s="18" t="s">
        <v>27</v>
      </c>
      <c r="F112" s="40">
        <v>257.60000000000002</v>
      </c>
      <c r="G112" s="40">
        <f>CPU!J643</f>
        <v>21.06</v>
      </c>
      <c r="H112" s="40">
        <f t="shared" si="25"/>
        <v>27.12</v>
      </c>
      <c r="I112" s="40">
        <f t="shared" si="32"/>
        <v>6986.11</v>
      </c>
      <c r="J112" s="41">
        <f>I112 / H127</f>
        <v>1.2665497794631803E-2</v>
      </c>
      <c r="K112" s="38">
        <f t="shared" si="28"/>
        <v>5425.05</v>
      </c>
    </row>
    <row r="113" spans="1:13" ht="21" customHeight="1">
      <c r="A113" s="17" t="s">
        <v>684</v>
      </c>
      <c r="B113" s="19" t="s">
        <v>580</v>
      </c>
      <c r="C113" s="17" t="s">
        <v>29</v>
      </c>
      <c r="D113" s="39" t="s">
        <v>581</v>
      </c>
      <c r="E113" s="18" t="s">
        <v>27</v>
      </c>
      <c r="F113" s="40">
        <v>257.60000000000002</v>
      </c>
      <c r="G113" s="40">
        <f>CPU!J651</f>
        <v>16.91</v>
      </c>
      <c r="H113" s="40">
        <f t="shared" si="25"/>
        <v>21.78</v>
      </c>
      <c r="I113" s="40">
        <f t="shared" si="32"/>
        <v>5610.52</v>
      </c>
      <c r="J113" s="41">
        <f>I113 / H127</f>
        <v>1.0171616061976927E-2</v>
      </c>
      <c r="K113" s="38">
        <f t="shared" si="28"/>
        <v>4356.01</v>
      </c>
    </row>
    <row r="114" spans="1:13" ht="21" customHeight="1">
      <c r="A114" s="17" t="s">
        <v>685</v>
      </c>
      <c r="B114" s="19" t="s">
        <v>582</v>
      </c>
      <c r="C114" s="17" t="s">
        <v>29</v>
      </c>
      <c r="D114" s="39" t="s">
        <v>583</v>
      </c>
      <c r="E114" s="18" t="s">
        <v>27</v>
      </c>
      <c r="F114" s="40">
        <v>257.60000000000002</v>
      </c>
      <c r="G114" s="40">
        <f>CPU!J658</f>
        <v>14.48</v>
      </c>
      <c r="H114" s="40">
        <f t="shared" si="25"/>
        <v>18.649999999999999</v>
      </c>
      <c r="I114" s="40">
        <f t="shared" si="32"/>
        <v>4804.24</v>
      </c>
      <c r="J114" s="41">
        <f>I114 / H127</f>
        <v>8.7098673116916131E-3</v>
      </c>
      <c r="K114" s="38">
        <f t="shared" ref="K114:K115" si="33">TRUNC(F114*G114,2)</f>
        <v>3730.04</v>
      </c>
    </row>
    <row r="115" spans="1:13" ht="21" customHeight="1">
      <c r="A115" s="17" t="s">
        <v>686</v>
      </c>
      <c r="B115" s="19" t="s">
        <v>687</v>
      </c>
      <c r="C115" s="17" t="s">
        <v>29</v>
      </c>
      <c r="D115" s="39" t="s">
        <v>688</v>
      </c>
      <c r="E115" s="18" t="s">
        <v>27</v>
      </c>
      <c r="F115" s="40">
        <v>54.8</v>
      </c>
      <c r="G115" s="40">
        <f>CPU!J665</f>
        <v>9.8699999999999992</v>
      </c>
      <c r="H115" s="40">
        <f t="shared" si="25"/>
        <v>12.71</v>
      </c>
      <c r="I115" s="40">
        <f t="shared" si="32"/>
        <v>696.5</v>
      </c>
      <c r="J115" s="41">
        <f>I115 / H127</f>
        <v>1.2627226330477262E-3</v>
      </c>
      <c r="K115" s="38">
        <f t="shared" si="33"/>
        <v>540.87</v>
      </c>
    </row>
    <row r="116" spans="1:13" s="16" customFormat="1" ht="21" customHeight="1">
      <c r="A116" s="33" t="s">
        <v>689</v>
      </c>
      <c r="B116" s="34"/>
      <c r="C116" s="33"/>
      <c r="D116" s="33" t="s">
        <v>690</v>
      </c>
      <c r="E116" s="35"/>
      <c r="F116" s="36"/>
      <c r="G116" s="33"/>
      <c r="H116" s="33"/>
      <c r="I116" s="36">
        <f>I117</f>
        <v>4901.87</v>
      </c>
      <c r="J116" s="37">
        <f>I116 / H127</f>
        <v>8.8868660348279359E-3</v>
      </c>
      <c r="K116" s="38">
        <f t="shared" si="28"/>
        <v>0</v>
      </c>
    </row>
    <row r="117" spans="1:13" ht="21" customHeight="1">
      <c r="A117" s="17" t="s">
        <v>691</v>
      </c>
      <c r="B117" s="19" t="s">
        <v>308</v>
      </c>
      <c r="C117" s="17" t="s">
        <v>29</v>
      </c>
      <c r="D117" s="39" t="s">
        <v>584</v>
      </c>
      <c r="E117" s="18" t="s">
        <v>27</v>
      </c>
      <c r="F117" s="40">
        <v>170.5</v>
      </c>
      <c r="G117" s="40">
        <f>CPU!J672</f>
        <v>22.32</v>
      </c>
      <c r="H117" s="40">
        <f t="shared" si="25"/>
        <v>28.75</v>
      </c>
      <c r="I117" s="40">
        <f t="shared" si="32"/>
        <v>4901.87</v>
      </c>
      <c r="J117" s="41">
        <f>I117 / H127</f>
        <v>8.8868660348279359E-3</v>
      </c>
      <c r="K117" s="38">
        <f t="shared" si="28"/>
        <v>3805.56</v>
      </c>
    </row>
    <row r="118" spans="1:13" s="16" customFormat="1" ht="21" customHeight="1">
      <c r="A118" s="33" t="s">
        <v>301</v>
      </c>
      <c r="B118" s="34"/>
      <c r="C118" s="33"/>
      <c r="D118" s="33" t="s">
        <v>442</v>
      </c>
      <c r="E118" s="35"/>
      <c r="F118" s="36"/>
      <c r="G118" s="33"/>
      <c r="H118" s="33"/>
      <c r="I118" s="36">
        <f>SUM(I119:I121)</f>
        <v>4246.17</v>
      </c>
      <c r="J118" s="37">
        <f>I118 / H127</f>
        <v>7.6981119350585268E-3</v>
      </c>
      <c r="K118" s="38">
        <f t="shared" si="28"/>
        <v>0</v>
      </c>
    </row>
    <row r="119" spans="1:13" ht="21" customHeight="1">
      <c r="A119" s="17" t="s">
        <v>302</v>
      </c>
      <c r="B119" s="19" t="s">
        <v>310</v>
      </c>
      <c r="C119" s="17" t="s">
        <v>29</v>
      </c>
      <c r="D119" s="39" t="s">
        <v>585</v>
      </c>
      <c r="E119" s="18" t="s">
        <v>33</v>
      </c>
      <c r="F119" s="40">
        <v>45</v>
      </c>
      <c r="G119" s="40">
        <f>CPU!J679</f>
        <v>25.57</v>
      </c>
      <c r="H119" s="40">
        <f t="shared" si="25"/>
        <v>32.93</v>
      </c>
      <c r="I119" s="40">
        <f t="shared" si="32"/>
        <v>1481.85</v>
      </c>
      <c r="J119" s="41">
        <f>I119 / H127</f>
        <v>2.686526250942962E-3</v>
      </c>
      <c r="K119" s="38">
        <f t="shared" si="28"/>
        <v>1150.6500000000001</v>
      </c>
    </row>
    <row r="120" spans="1:13" ht="21" customHeight="1">
      <c r="A120" s="17" t="s">
        <v>303</v>
      </c>
      <c r="B120" s="19" t="s">
        <v>313</v>
      </c>
      <c r="C120" s="17" t="s">
        <v>26</v>
      </c>
      <c r="D120" s="39" t="s">
        <v>586</v>
      </c>
      <c r="E120" s="18" t="s">
        <v>33</v>
      </c>
      <c r="F120" s="40">
        <v>8</v>
      </c>
      <c r="G120" s="40">
        <f>CPU!J686</f>
        <v>31.02</v>
      </c>
      <c r="H120" s="40">
        <f t="shared" si="25"/>
        <v>39.950000000000003</v>
      </c>
      <c r="I120" s="40">
        <f t="shared" si="32"/>
        <v>319.60000000000002</v>
      </c>
      <c r="J120" s="41">
        <f>I120 / H127</f>
        <v>5.7942017734681028E-4</v>
      </c>
      <c r="K120" s="38">
        <f t="shared" si="28"/>
        <v>248.16</v>
      </c>
    </row>
    <row r="121" spans="1:13" ht="21" customHeight="1">
      <c r="A121" s="17" t="s">
        <v>304</v>
      </c>
      <c r="B121" s="19" t="s">
        <v>587</v>
      </c>
      <c r="C121" s="17" t="s">
        <v>66</v>
      </c>
      <c r="D121" s="39" t="s">
        <v>588</v>
      </c>
      <c r="E121" s="18" t="s">
        <v>33</v>
      </c>
      <c r="F121" s="40">
        <v>8</v>
      </c>
      <c r="G121" s="40">
        <f>CPU!J693</f>
        <v>237.23</v>
      </c>
      <c r="H121" s="40">
        <f t="shared" si="25"/>
        <v>305.58999999999997</v>
      </c>
      <c r="I121" s="40">
        <f t="shared" si="32"/>
        <v>2444.7199999999998</v>
      </c>
      <c r="J121" s="41">
        <f>I121 / H127</f>
        <v>4.4321655067687538E-3</v>
      </c>
      <c r="K121" s="38">
        <f t="shared" ref="K121:K123" si="34">TRUNC(F121*G121,2)</f>
        <v>1897.84</v>
      </c>
    </row>
    <row r="122" spans="1:13" s="16" customFormat="1" ht="21" customHeight="1">
      <c r="A122" s="33" t="s">
        <v>305</v>
      </c>
      <c r="B122" s="34"/>
      <c r="C122" s="33"/>
      <c r="D122" s="33" t="s">
        <v>278</v>
      </c>
      <c r="E122" s="35"/>
      <c r="F122" s="36"/>
      <c r="G122" s="33"/>
      <c r="H122" s="33"/>
      <c r="I122" s="36">
        <f>I123</f>
        <v>7068.79</v>
      </c>
      <c r="J122" s="37">
        <f>I122 / H127</f>
        <v>1.2815392851775215E-2</v>
      </c>
      <c r="K122" s="38">
        <f t="shared" si="34"/>
        <v>0</v>
      </c>
    </row>
    <row r="123" spans="1:13" ht="21" customHeight="1">
      <c r="A123" s="17" t="s">
        <v>306</v>
      </c>
      <c r="B123" s="19" t="s">
        <v>589</v>
      </c>
      <c r="C123" s="17" t="s">
        <v>29</v>
      </c>
      <c r="D123" s="39" t="s">
        <v>590</v>
      </c>
      <c r="E123" s="18" t="s">
        <v>27</v>
      </c>
      <c r="F123" s="40">
        <v>1118.48</v>
      </c>
      <c r="G123" s="40">
        <f>CPU!J701</f>
        <v>4.91</v>
      </c>
      <c r="H123" s="40">
        <f t="shared" si="25"/>
        <v>6.32</v>
      </c>
      <c r="I123" s="40">
        <f t="shared" ref="I123" si="35">TRUNC(F123 * H123, 2)</f>
        <v>7068.79</v>
      </c>
      <c r="J123" s="41">
        <f>I123 / H127</f>
        <v>1.2815392851775215E-2</v>
      </c>
      <c r="K123" s="38">
        <f t="shared" si="34"/>
        <v>5491.73</v>
      </c>
    </row>
    <row r="124" spans="1:13" ht="17.25" customHeight="1">
      <c r="A124" s="81"/>
      <c r="B124" s="81"/>
      <c r="C124" s="81"/>
      <c r="D124" s="81"/>
      <c r="E124" s="81"/>
      <c r="F124" s="82"/>
      <c r="G124" s="81"/>
      <c r="H124" s="81"/>
      <c r="I124" s="81"/>
      <c r="J124" s="81"/>
    </row>
    <row r="125" spans="1:13" ht="24" customHeight="1">
      <c r="A125" s="204" t="str">
        <f>ORCAMENTO!B17</f>
        <v>ANANINDEUA(PA), 17 DE ABRIL DE 2025</v>
      </c>
      <c r="B125" s="204"/>
      <c r="C125" s="204"/>
      <c r="D125" s="204"/>
      <c r="E125" s="83"/>
      <c r="F125" s="197" t="s">
        <v>11</v>
      </c>
      <c r="G125" s="197"/>
      <c r="H125" s="198">
        <f>SUM(K6:K123)</f>
        <v>428248.73999999993</v>
      </c>
      <c r="I125" s="198"/>
      <c r="J125" s="198"/>
      <c r="L125" s="84"/>
      <c r="M125" s="84"/>
    </row>
    <row r="126" spans="1:13" ht="24" customHeight="1">
      <c r="A126" s="73"/>
      <c r="B126" s="73"/>
      <c r="C126" s="73"/>
      <c r="D126" s="74"/>
      <c r="E126" s="83"/>
      <c r="F126" s="197" t="s">
        <v>12</v>
      </c>
      <c r="G126" s="197"/>
      <c r="H126" s="198">
        <f>H127-H125</f>
        <v>123337.16000000021</v>
      </c>
      <c r="I126" s="198"/>
      <c r="J126" s="198"/>
    </row>
    <row r="127" spans="1:13" ht="24" customHeight="1">
      <c r="A127" s="197"/>
      <c r="B127" s="197"/>
      <c r="C127" s="197"/>
      <c r="D127" s="197"/>
      <c r="E127" s="197"/>
      <c r="F127" s="197" t="s">
        <v>13</v>
      </c>
      <c r="G127" s="197"/>
      <c r="H127" s="198">
        <f>ORCAMENTO!E19</f>
        <v>551585.90000000014</v>
      </c>
      <c r="I127" s="198"/>
      <c r="J127" s="198"/>
    </row>
    <row r="128" spans="1:13" ht="54.75" customHeight="1">
      <c r="A128" s="203"/>
      <c r="B128" s="203"/>
      <c r="C128" s="203"/>
      <c r="D128" s="203"/>
      <c r="E128" s="203"/>
      <c r="F128" s="203"/>
      <c r="G128" s="203"/>
      <c r="H128" s="203"/>
      <c r="I128" s="203"/>
      <c r="J128" s="203"/>
    </row>
    <row r="129" spans="1:11" ht="24" customHeight="1">
      <c r="A129" s="204" t="str">
        <f>ORCAMENTO!B21</f>
        <v>RIOL - Serviços de Construções LTDA.</v>
      </c>
      <c r="B129" s="204"/>
      <c r="C129" s="204"/>
      <c r="D129" s="204"/>
      <c r="E129" s="83"/>
      <c r="F129" s="75"/>
      <c r="G129" s="72"/>
      <c r="H129" s="72"/>
      <c r="I129" s="72"/>
      <c r="J129" s="72"/>
      <c r="K129" s="15"/>
    </row>
    <row r="130" spans="1:11" ht="24" customHeight="1">
      <c r="A130" s="204" t="str">
        <f>ORCAMENTO!B22</f>
        <v>CNPJ: 09.335.585/0001-75</v>
      </c>
      <c r="B130" s="204"/>
      <c r="C130" s="204"/>
      <c r="D130" s="204"/>
      <c r="E130" s="83"/>
      <c r="F130" s="75"/>
      <c r="G130" s="72"/>
      <c r="H130" s="72"/>
      <c r="I130" s="72"/>
      <c r="J130" s="72"/>
      <c r="K130" s="15"/>
    </row>
    <row r="131" spans="1:11" ht="15" customHeight="1">
      <c r="A131" s="85"/>
      <c r="B131" s="86"/>
      <c r="C131" s="87"/>
      <c r="D131" s="88"/>
      <c r="E131" s="89"/>
      <c r="K131" s="15"/>
    </row>
    <row r="132" spans="1:11" ht="21">
      <c r="B132" s="86"/>
    </row>
  </sheetData>
  <mergeCells count="20">
    <mergeCell ref="A1:J1"/>
    <mergeCell ref="E2:F2"/>
    <mergeCell ref="G2:H2"/>
    <mergeCell ref="I2:J2"/>
    <mergeCell ref="A3:D3"/>
    <mergeCell ref="E3:F3"/>
    <mergeCell ref="G3:H3"/>
    <mergeCell ref="I3:J3"/>
    <mergeCell ref="A4:J4"/>
    <mergeCell ref="A125:D125"/>
    <mergeCell ref="F125:G125"/>
    <mergeCell ref="H125:J125"/>
    <mergeCell ref="F126:G126"/>
    <mergeCell ref="H126:J126"/>
    <mergeCell ref="A130:D130"/>
    <mergeCell ref="A127:E127"/>
    <mergeCell ref="F127:G127"/>
    <mergeCell ref="H127:J127"/>
    <mergeCell ref="A128:J128"/>
    <mergeCell ref="A129:D129"/>
  </mergeCells>
  <phoneticPr fontId="20" type="noConversion"/>
  <printOptions horizontalCentered="1"/>
  <pageMargins left="0.39370078740157483" right="0.19685039370078741" top="0.39370078740157483" bottom="0.78740157480314965" header="0.39370078740157483" footer="0.39370078740157483"/>
  <pageSetup paperSize="9" scale="57" firstPageNumber="0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12"/>
  <sheetViews>
    <sheetView topLeftCell="A689" zoomScaleNormal="100" workbookViewId="0">
      <selection activeCell="J702" sqref="J702"/>
    </sheetView>
  </sheetViews>
  <sheetFormatPr defaultColWidth="9" defaultRowHeight="14.4"/>
  <cols>
    <col min="1" max="1" width="9.59765625" style="15" customWidth="1"/>
    <col min="2" max="2" width="10.59765625" style="15" customWidth="1"/>
    <col min="3" max="3" width="8.59765625" style="15" customWidth="1"/>
    <col min="4" max="4" width="60.59765625" style="15" customWidth="1"/>
    <col min="5" max="5" width="14.59765625" style="167" customWidth="1"/>
    <col min="6" max="6" width="10.59765625" style="167" customWidth="1"/>
    <col min="7" max="7" width="9.59765625" style="15" customWidth="1"/>
    <col min="8" max="10" width="10.59765625" style="15" customWidth="1"/>
    <col min="11" max="11" width="14" style="15" customWidth="1"/>
    <col min="12" max="16384" width="9" style="15"/>
  </cols>
  <sheetData>
    <row r="1" spans="1:10" ht="132" customHeight="1">
      <c r="A1" s="199"/>
      <c r="B1" s="199"/>
      <c r="C1" s="199"/>
      <c r="D1" s="199"/>
      <c r="E1" s="199"/>
      <c r="F1" s="199"/>
      <c r="G1" s="199"/>
      <c r="H1" s="199"/>
      <c r="I1" s="199"/>
      <c r="J1" s="199"/>
    </row>
    <row r="2" spans="1:10" ht="15" customHeight="1">
      <c r="A2" s="219" t="s">
        <v>35</v>
      </c>
      <c r="B2" s="219"/>
      <c r="C2" s="219"/>
      <c r="D2" s="219"/>
      <c r="E2" s="219" t="s">
        <v>1</v>
      </c>
      <c r="F2" s="219"/>
      <c r="G2" s="219" t="s">
        <v>2</v>
      </c>
      <c r="H2" s="219"/>
      <c r="I2" s="219" t="s">
        <v>3</v>
      </c>
      <c r="J2" s="219"/>
    </row>
    <row r="3" spans="1:10" ht="52.5" customHeight="1">
      <c r="A3" s="219" t="str">
        <f>ORCAMENTO!A3</f>
        <v>MANUTEÇÃO PREVENTIVA E CORRETIVA DA  CRECHE MUNICIPAL "ODINAMAR OLIVEIRA GOMES"</v>
      </c>
      <c r="B3" s="219"/>
      <c r="C3" s="219"/>
      <c r="D3" s="219"/>
      <c r="E3" s="219" t="str">
        <f>ORCAMENTO!C3</f>
        <v xml:space="preserve">SINAPI - 03/2025 - Pará
SEDOP - 02/2025 - Pará
</v>
      </c>
      <c r="F3" s="219"/>
      <c r="G3" s="69">
        <f>ORCAMENTO!D3</f>
        <v>0.28820000000000001</v>
      </c>
      <c r="H3" s="70"/>
      <c r="I3" s="200" t="str">
        <f>ORCAMENTO!E3</f>
        <v>Desonerado: 
0,00%</v>
      </c>
      <c r="J3" s="200"/>
    </row>
    <row r="4" spans="1:10" ht="18.75" customHeight="1">
      <c r="A4" s="217" t="s">
        <v>35</v>
      </c>
      <c r="B4" s="217"/>
      <c r="C4" s="217"/>
      <c r="D4" s="217"/>
      <c r="E4" s="217"/>
      <c r="F4" s="217"/>
      <c r="G4" s="217"/>
      <c r="H4" s="217"/>
      <c r="I4" s="217"/>
      <c r="J4" s="217"/>
    </row>
    <row r="5" spans="1:10" ht="24" customHeight="1" thickBot="1">
      <c r="A5" s="218" t="s">
        <v>36</v>
      </c>
      <c r="B5" s="218"/>
      <c r="C5" s="218"/>
      <c r="D5" s="218"/>
      <c r="E5" s="218"/>
      <c r="F5" s="218"/>
      <c r="G5" s="218"/>
      <c r="H5" s="218"/>
      <c r="I5" s="218"/>
      <c r="J5" s="218"/>
    </row>
    <row r="6" spans="1:10" ht="18" customHeight="1" thickTop="1">
      <c r="A6" s="42" t="s">
        <v>25</v>
      </c>
      <c r="B6" s="43" t="s">
        <v>18</v>
      </c>
      <c r="C6" s="42" t="s">
        <v>19</v>
      </c>
      <c r="D6" s="42" t="s">
        <v>6</v>
      </c>
      <c r="E6" s="212" t="s">
        <v>37</v>
      </c>
      <c r="F6" s="212"/>
      <c r="G6" s="44" t="s">
        <v>20</v>
      </c>
      <c r="H6" s="43" t="s">
        <v>21</v>
      </c>
      <c r="I6" s="43" t="s">
        <v>22</v>
      </c>
      <c r="J6" s="43" t="s">
        <v>7</v>
      </c>
    </row>
    <row r="7" spans="1:10" ht="21" customHeight="1">
      <c r="A7" s="154" t="s">
        <v>38</v>
      </c>
      <c r="B7" s="155" t="s">
        <v>443</v>
      </c>
      <c r="C7" s="154" t="s">
        <v>26</v>
      </c>
      <c r="D7" s="154" t="s">
        <v>592</v>
      </c>
      <c r="E7" s="214" t="s">
        <v>39</v>
      </c>
      <c r="F7" s="214"/>
      <c r="G7" s="156" t="s">
        <v>27</v>
      </c>
      <c r="H7" s="157">
        <v>1</v>
      </c>
      <c r="I7" s="158">
        <v>247.5</v>
      </c>
      <c r="J7" s="158">
        <v>247.5</v>
      </c>
    </row>
    <row r="8" spans="1:10" ht="27" customHeight="1">
      <c r="A8" s="21" t="s">
        <v>40</v>
      </c>
      <c r="B8" s="22" t="s">
        <v>314</v>
      </c>
      <c r="C8" s="21" t="s">
        <v>29</v>
      </c>
      <c r="D8" s="21" t="s">
        <v>692</v>
      </c>
      <c r="E8" s="210" t="s">
        <v>41</v>
      </c>
      <c r="F8" s="210"/>
      <c r="G8" s="23" t="s">
        <v>27</v>
      </c>
      <c r="H8" s="24">
        <v>1</v>
      </c>
      <c r="I8" s="25">
        <v>247.5</v>
      </c>
      <c r="J8" s="25">
        <v>247.5</v>
      </c>
    </row>
    <row r="9" spans="1:10" ht="27.6">
      <c r="A9" s="26"/>
      <c r="B9" s="26"/>
      <c r="C9" s="26"/>
      <c r="D9" s="26"/>
      <c r="E9" s="161" t="s">
        <v>42</v>
      </c>
      <c r="F9" s="162">
        <v>0</v>
      </c>
      <c r="G9" s="26" t="s">
        <v>43</v>
      </c>
      <c r="H9" s="27">
        <v>0</v>
      </c>
      <c r="I9" s="26" t="s">
        <v>44</v>
      </c>
      <c r="J9" s="27">
        <v>0</v>
      </c>
    </row>
    <row r="10" spans="1:10" ht="15" customHeight="1" thickBot="1">
      <c r="A10" s="159"/>
      <c r="B10" s="159"/>
      <c r="C10" s="159"/>
      <c r="D10" s="159"/>
      <c r="E10" s="163" t="s">
        <v>45</v>
      </c>
      <c r="F10" s="164">
        <v>71.319999999999993</v>
      </c>
      <c r="G10" s="159"/>
      <c r="H10" s="213" t="s">
        <v>46</v>
      </c>
      <c r="I10" s="213"/>
      <c r="J10" s="160">
        <v>318.82</v>
      </c>
    </row>
    <row r="11" spans="1:10" ht="18" customHeight="1" thickTop="1">
      <c r="A11" s="42" t="s">
        <v>28</v>
      </c>
      <c r="B11" s="43" t="s">
        <v>18</v>
      </c>
      <c r="C11" s="42" t="s">
        <v>19</v>
      </c>
      <c r="D11" s="42" t="s">
        <v>6</v>
      </c>
      <c r="E11" s="212" t="s">
        <v>37</v>
      </c>
      <c r="F11" s="212"/>
      <c r="G11" s="44" t="s">
        <v>20</v>
      </c>
      <c r="H11" s="43" t="s">
        <v>21</v>
      </c>
      <c r="I11" s="43" t="s">
        <v>22</v>
      </c>
      <c r="J11" s="43" t="s">
        <v>7</v>
      </c>
    </row>
    <row r="12" spans="1:10" ht="21" customHeight="1">
      <c r="A12" s="154" t="s">
        <v>38</v>
      </c>
      <c r="B12" s="155" t="s">
        <v>390</v>
      </c>
      <c r="C12" s="154" t="s">
        <v>26</v>
      </c>
      <c r="D12" s="154" t="s">
        <v>444</v>
      </c>
      <c r="E12" s="214" t="s">
        <v>391</v>
      </c>
      <c r="F12" s="214"/>
      <c r="G12" s="156" t="s">
        <v>392</v>
      </c>
      <c r="H12" s="157">
        <v>1</v>
      </c>
      <c r="I12" s="158">
        <v>3462.7200000000003</v>
      </c>
      <c r="J12" s="158">
        <v>3462.72</v>
      </c>
    </row>
    <row r="13" spans="1:10" ht="21" customHeight="1">
      <c r="A13" s="21" t="s">
        <v>40</v>
      </c>
      <c r="B13" s="22" t="s">
        <v>393</v>
      </c>
      <c r="C13" s="21" t="s">
        <v>66</v>
      </c>
      <c r="D13" s="21" t="s">
        <v>394</v>
      </c>
      <c r="E13" s="210" t="s">
        <v>395</v>
      </c>
      <c r="F13" s="210"/>
      <c r="G13" s="23" t="s">
        <v>396</v>
      </c>
      <c r="H13" s="24">
        <v>0.16500000000000001</v>
      </c>
      <c r="I13" s="25">
        <v>11002</v>
      </c>
      <c r="J13" s="25">
        <v>1815.33</v>
      </c>
    </row>
    <row r="14" spans="1:10" ht="21" customHeight="1">
      <c r="A14" s="21" t="s">
        <v>40</v>
      </c>
      <c r="B14" s="22" t="s">
        <v>397</v>
      </c>
      <c r="C14" s="21" t="s">
        <v>66</v>
      </c>
      <c r="D14" s="21" t="s">
        <v>398</v>
      </c>
      <c r="E14" s="210" t="s">
        <v>395</v>
      </c>
      <c r="F14" s="210"/>
      <c r="G14" s="23" t="s">
        <v>396</v>
      </c>
      <c r="H14" s="24">
        <v>0.5</v>
      </c>
      <c r="I14" s="25">
        <v>3294.79</v>
      </c>
      <c r="J14" s="25">
        <v>1647.39</v>
      </c>
    </row>
    <row r="15" spans="1:10" ht="27.6">
      <c r="A15" s="26"/>
      <c r="B15" s="26"/>
      <c r="C15" s="26"/>
      <c r="D15" s="26"/>
      <c r="E15" s="161" t="s">
        <v>42</v>
      </c>
      <c r="F15" s="162">
        <v>3497.7</v>
      </c>
      <c r="G15" s="26" t="s">
        <v>43</v>
      </c>
      <c r="H15" s="27">
        <v>0</v>
      </c>
      <c r="I15" s="26" t="s">
        <v>44</v>
      </c>
      <c r="J15" s="27">
        <v>3497.7</v>
      </c>
    </row>
    <row r="16" spans="1:10" ht="15" customHeight="1" thickBot="1">
      <c r="A16" s="159"/>
      <c r="B16" s="159"/>
      <c r="C16" s="159"/>
      <c r="D16" s="159"/>
      <c r="E16" s="163" t="s">
        <v>45</v>
      </c>
      <c r="F16" s="164">
        <v>997.95</v>
      </c>
      <c r="G16" s="159"/>
      <c r="H16" s="213" t="s">
        <v>46</v>
      </c>
      <c r="I16" s="213"/>
      <c r="J16" s="160">
        <v>4460.67</v>
      </c>
    </row>
    <row r="17" spans="1:10" ht="18" customHeight="1" thickTop="1">
      <c r="A17" s="42" t="s">
        <v>30</v>
      </c>
      <c r="B17" s="43" t="s">
        <v>18</v>
      </c>
      <c r="C17" s="42" t="s">
        <v>19</v>
      </c>
      <c r="D17" s="42" t="s">
        <v>6</v>
      </c>
      <c r="E17" s="212" t="s">
        <v>37</v>
      </c>
      <c r="F17" s="212"/>
      <c r="G17" s="44" t="s">
        <v>20</v>
      </c>
      <c r="H17" s="43" t="s">
        <v>21</v>
      </c>
      <c r="I17" s="43" t="s">
        <v>22</v>
      </c>
      <c r="J17" s="43" t="s">
        <v>7</v>
      </c>
    </row>
    <row r="18" spans="1:10" ht="21" customHeight="1">
      <c r="A18" s="154" t="s">
        <v>38</v>
      </c>
      <c r="B18" s="155" t="s">
        <v>386</v>
      </c>
      <c r="C18" s="154" t="s">
        <v>26</v>
      </c>
      <c r="D18" s="154" t="s">
        <v>593</v>
      </c>
      <c r="E18" s="214" t="s">
        <v>66</v>
      </c>
      <c r="F18" s="214"/>
      <c r="G18" s="156" t="s">
        <v>33</v>
      </c>
      <c r="H18" s="157">
        <v>1</v>
      </c>
      <c r="I18" s="158">
        <v>14850</v>
      </c>
      <c r="J18" s="158">
        <v>14850</v>
      </c>
    </row>
    <row r="19" spans="1:10" ht="21" customHeight="1">
      <c r="A19" s="21" t="s">
        <v>40</v>
      </c>
      <c r="B19" s="22" t="s">
        <v>387</v>
      </c>
      <c r="C19" s="21" t="s">
        <v>26</v>
      </c>
      <c r="D19" s="21" t="s">
        <v>388</v>
      </c>
      <c r="E19" s="210" t="s">
        <v>237</v>
      </c>
      <c r="F19" s="210"/>
      <c r="G19" s="23" t="s">
        <v>389</v>
      </c>
      <c r="H19" s="24">
        <v>100</v>
      </c>
      <c r="I19" s="25">
        <v>148.5</v>
      </c>
      <c r="J19" s="25">
        <v>14850</v>
      </c>
    </row>
    <row r="20" spans="1:10" ht="27.6">
      <c r="A20" s="26"/>
      <c r="B20" s="26"/>
      <c r="C20" s="26"/>
      <c r="D20" s="26"/>
      <c r="E20" s="161" t="s">
        <v>42</v>
      </c>
      <c r="F20" s="162">
        <v>0</v>
      </c>
      <c r="G20" s="26" t="s">
        <v>43</v>
      </c>
      <c r="H20" s="27">
        <v>0</v>
      </c>
      <c r="I20" s="26" t="s">
        <v>44</v>
      </c>
      <c r="J20" s="27">
        <v>0</v>
      </c>
    </row>
    <row r="21" spans="1:10" ht="15" customHeight="1" thickBot="1">
      <c r="A21" s="159"/>
      <c r="B21" s="159"/>
      <c r="C21" s="159"/>
      <c r="D21" s="159"/>
      <c r="E21" s="163" t="s">
        <v>45</v>
      </c>
      <c r="F21" s="164">
        <v>4279.7700000000004</v>
      </c>
      <c r="G21" s="159"/>
      <c r="H21" s="213" t="s">
        <v>46</v>
      </c>
      <c r="I21" s="213"/>
      <c r="J21" s="160">
        <v>19129.77</v>
      </c>
    </row>
    <row r="22" spans="1:10" ht="18" customHeight="1" thickTop="1">
      <c r="A22" s="42" t="s">
        <v>594</v>
      </c>
      <c r="B22" s="43" t="s">
        <v>18</v>
      </c>
      <c r="C22" s="42" t="s">
        <v>19</v>
      </c>
      <c r="D22" s="42" t="s">
        <v>6</v>
      </c>
      <c r="E22" s="212" t="s">
        <v>37</v>
      </c>
      <c r="F22" s="212"/>
      <c r="G22" s="44" t="s">
        <v>20</v>
      </c>
      <c r="H22" s="43" t="s">
        <v>21</v>
      </c>
      <c r="I22" s="43" t="s">
        <v>22</v>
      </c>
      <c r="J22" s="43" t="s">
        <v>7</v>
      </c>
    </row>
    <row r="23" spans="1:10" ht="27" customHeight="1">
      <c r="A23" s="154" t="s">
        <v>38</v>
      </c>
      <c r="B23" s="155" t="s">
        <v>446</v>
      </c>
      <c r="C23" s="154" t="s">
        <v>29</v>
      </c>
      <c r="D23" s="154" t="s">
        <v>447</v>
      </c>
      <c r="E23" s="214" t="s">
        <v>242</v>
      </c>
      <c r="F23" s="214"/>
      <c r="G23" s="156" t="s">
        <v>27</v>
      </c>
      <c r="H23" s="157">
        <v>1</v>
      </c>
      <c r="I23" s="158">
        <v>16.97</v>
      </c>
      <c r="J23" s="158">
        <v>16.97</v>
      </c>
    </row>
    <row r="24" spans="1:10" ht="27" customHeight="1">
      <c r="A24" s="28" t="s">
        <v>47</v>
      </c>
      <c r="B24" s="29" t="s">
        <v>48</v>
      </c>
      <c r="C24" s="28" t="s">
        <v>29</v>
      </c>
      <c r="D24" s="28" t="s">
        <v>49</v>
      </c>
      <c r="E24" s="211" t="s">
        <v>50</v>
      </c>
      <c r="F24" s="211"/>
      <c r="G24" s="30" t="s">
        <v>51</v>
      </c>
      <c r="H24" s="31">
        <v>0.28499999999999998</v>
      </c>
      <c r="I24" s="32">
        <v>19.48</v>
      </c>
      <c r="J24" s="32">
        <v>5.55</v>
      </c>
    </row>
    <row r="25" spans="1:10" ht="27" customHeight="1">
      <c r="A25" s="28" t="s">
        <v>47</v>
      </c>
      <c r="B25" s="29" t="s">
        <v>251</v>
      </c>
      <c r="C25" s="28" t="s">
        <v>29</v>
      </c>
      <c r="D25" s="28" t="s">
        <v>252</v>
      </c>
      <c r="E25" s="211" t="s">
        <v>57</v>
      </c>
      <c r="F25" s="211"/>
      <c r="G25" s="30" t="s">
        <v>58</v>
      </c>
      <c r="H25" s="31">
        <v>7.4000000000000003E-3</v>
      </c>
      <c r="I25" s="32">
        <v>22.92</v>
      </c>
      <c r="J25" s="32">
        <v>0.16</v>
      </c>
    </row>
    <row r="26" spans="1:10" ht="27" customHeight="1">
      <c r="A26" s="28" t="s">
        <v>47</v>
      </c>
      <c r="B26" s="29" t="s">
        <v>62</v>
      </c>
      <c r="C26" s="28" t="s">
        <v>29</v>
      </c>
      <c r="D26" s="28" t="s">
        <v>63</v>
      </c>
      <c r="E26" s="211" t="s">
        <v>50</v>
      </c>
      <c r="F26" s="211"/>
      <c r="G26" s="30" t="s">
        <v>51</v>
      </c>
      <c r="H26" s="31">
        <v>0.183</v>
      </c>
      <c r="I26" s="32">
        <v>23.8</v>
      </c>
      <c r="J26" s="32">
        <v>4.3499999999999996</v>
      </c>
    </row>
    <row r="27" spans="1:10" ht="27" customHeight="1">
      <c r="A27" s="28" t="s">
        <v>47</v>
      </c>
      <c r="B27" s="29" t="s">
        <v>249</v>
      </c>
      <c r="C27" s="28" t="s">
        <v>29</v>
      </c>
      <c r="D27" s="28" t="s">
        <v>250</v>
      </c>
      <c r="E27" s="211" t="s">
        <v>57</v>
      </c>
      <c r="F27" s="211"/>
      <c r="G27" s="30" t="s">
        <v>59</v>
      </c>
      <c r="H27" s="31">
        <v>1.03E-2</v>
      </c>
      <c r="I27" s="32">
        <v>21.68</v>
      </c>
      <c r="J27" s="32">
        <v>0.22</v>
      </c>
    </row>
    <row r="28" spans="1:10" ht="27" customHeight="1">
      <c r="A28" s="21" t="s">
        <v>40</v>
      </c>
      <c r="B28" s="22" t="s">
        <v>262</v>
      </c>
      <c r="C28" s="21" t="s">
        <v>29</v>
      </c>
      <c r="D28" s="21" t="s">
        <v>263</v>
      </c>
      <c r="E28" s="210" t="s">
        <v>41</v>
      </c>
      <c r="F28" s="210"/>
      <c r="G28" s="23" t="s">
        <v>264</v>
      </c>
      <c r="H28" s="24">
        <v>5.4999999999999997E-3</v>
      </c>
      <c r="I28" s="25">
        <v>1217.7</v>
      </c>
      <c r="J28" s="25">
        <v>6.69</v>
      </c>
    </row>
    <row r="29" spans="1:10" ht="27.6">
      <c r="A29" s="26"/>
      <c r="B29" s="26"/>
      <c r="C29" s="26"/>
      <c r="D29" s="26"/>
      <c r="E29" s="161" t="s">
        <v>42</v>
      </c>
      <c r="F29" s="162">
        <v>6.87</v>
      </c>
      <c r="G29" s="26" t="s">
        <v>43</v>
      </c>
      <c r="H29" s="27">
        <v>0</v>
      </c>
      <c r="I29" s="26" t="s">
        <v>44</v>
      </c>
      <c r="J29" s="27">
        <v>6.87</v>
      </c>
    </row>
    <row r="30" spans="1:10" ht="15" customHeight="1" thickBot="1">
      <c r="A30" s="159"/>
      <c r="B30" s="159"/>
      <c r="C30" s="159"/>
      <c r="D30" s="159"/>
      <c r="E30" s="163" t="s">
        <v>45</v>
      </c>
      <c r="F30" s="164">
        <v>4.8899999999999997</v>
      </c>
      <c r="G30" s="159"/>
      <c r="H30" s="213" t="s">
        <v>46</v>
      </c>
      <c r="I30" s="213"/>
      <c r="J30" s="160">
        <v>21.86</v>
      </c>
    </row>
    <row r="31" spans="1:10" ht="18" customHeight="1" thickTop="1">
      <c r="A31" s="42" t="s">
        <v>595</v>
      </c>
      <c r="B31" s="43" t="s">
        <v>18</v>
      </c>
      <c r="C31" s="42" t="s">
        <v>19</v>
      </c>
      <c r="D31" s="42" t="s">
        <v>6</v>
      </c>
      <c r="E31" s="212" t="s">
        <v>37</v>
      </c>
      <c r="F31" s="212"/>
      <c r="G31" s="44" t="s">
        <v>20</v>
      </c>
      <c r="H31" s="43" t="s">
        <v>21</v>
      </c>
      <c r="I31" s="43" t="s">
        <v>22</v>
      </c>
      <c r="J31" s="43" t="s">
        <v>7</v>
      </c>
    </row>
    <row r="32" spans="1:10" ht="27" customHeight="1">
      <c r="A32" s="154" t="s">
        <v>38</v>
      </c>
      <c r="B32" s="155" t="s">
        <v>449</v>
      </c>
      <c r="C32" s="154" t="s">
        <v>29</v>
      </c>
      <c r="D32" s="154" t="s">
        <v>450</v>
      </c>
      <c r="E32" s="214" t="s">
        <v>242</v>
      </c>
      <c r="F32" s="214"/>
      <c r="G32" s="156" t="s">
        <v>27</v>
      </c>
      <c r="H32" s="157">
        <v>1</v>
      </c>
      <c r="I32" s="158">
        <v>13.73</v>
      </c>
      <c r="J32" s="158">
        <v>13.73</v>
      </c>
    </row>
    <row r="33" spans="1:10" ht="27" customHeight="1">
      <c r="A33" s="28" t="s">
        <v>47</v>
      </c>
      <c r="B33" s="29" t="s">
        <v>251</v>
      </c>
      <c r="C33" s="28" t="s">
        <v>29</v>
      </c>
      <c r="D33" s="28" t="s">
        <v>252</v>
      </c>
      <c r="E33" s="211" t="s">
        <v>57</v>
      </c>
      <c r="F33" s="211"/>
      <c r="G33" s="30" t="s">
        <v>58</v>
      </c>
      <c r="H33" s="31">
        <v>1.8800000000000001E-2</v>
      </c>
      <c r="I33" s="32">
        <v>22.92</v>
      </c>
      <c r="J33" s="32">
        <v>0.43</v>
      </c>
    </row>
    <row r="34" spans="1:10" ht="27" customHeight="1">
      <c r="A34" s="28" t="s">
        <v>47</v>
      </c>
      <c r="B34" s="29" t="s">
        <v>60</v>
      </c>
      <c r="C34" s="28" t="s">
        <v>29</v>
      </c>
      <c r="D34" s="28" t="s">
        <v>61</v>
      </c>
      <c r="E34" s="211" t="s">
        <v>50</v>
      </c>
      <c r="F34" s="211"/>
      <c r="G34" s="30" t="s">
        <v>51</v>
      </c>
      <c r="H34" s="31">
        <v>0.20699999999999999</v>
      </c>
      <c r="I34" s="32">
        <v>19.82</v>
      </c>
      <c r="J34" s="32">
        <v>4.0999999999999996</v>
      </c>
    </row>
    <row r="35" spans="1:10" ht="27" customHeight="1">
      <c r="A35" s="28" t="s">
        <v>47</v>
      </c>
      <c r="B35" s="29" t="s">
        <v>64</v>
      </c>
      <c r="C35" s="28" t="s">
        <v>29</v>
      </c>
      <c r="D35" s="28" t="s">
        <v>65</v>
      </c>
      <c r="E35" s="211" t="s">
        <v>50</v>
      </c>
      <c r="F35" s="211"/>
      <c r="G35" s="30" t="s">
        <v>51</v>
      </c>
      <c r="H35" s="31">
        <v>9.1999999999999998E-2</v>
      </c>
      <c r="I35" s="32">
        <v>24.01</v>
      </c>
      <c r="J35" s="32">
        <v>2.2000000000000002</v>
      </c>
    </row>
    <row r="36" spans="1:10" ht="27" customHeight="1">
      <c r="A36" s="28" t="s">
        <v>47</v>
      </c>
      <c r="B36" s="29" t="s">
        <v>249</v>
      </c>
      <c r="C36" s="28" t="s">
        <v>29</v>
      </c>
      <c r="D36" s="28" t="s">
        <v>250</v>
      </c>
      <c r="E36" s="211" t="s">
        <v>57</v>
      </c>
      <c r="F36" s="211"/>
      <c r="G36" s="30" t="s">
        <v>59</v>
      </c>
      <c r="H36" s="31">
        <v>2.5999999999999999E-2</v>
      </c>
      <c r="I36" s="32">
        <v>21.68</v>
      </c>
      <c r="J36" s="32">
        <v>0.56000000000000005</v>
      </c>
    </row>
    <row r="37" spans="1:10" ht="21" customHeight="1">
      <c r="A37" s="21" t="s">
        <v>40</v>
      </c>
      <c r="B37" s="22" t="s">
        <v>260</v>
      </c>
      <c r="C37" s="21" t="s">
        <v>29</v>
      </c>
      <c r="D37" s="21" t="s">
        <v>261</v>
      </c>
      <c r="E37" s="210" t="s">
        <v>41</v>
      </c>
      <c r="F37" s="210"/>
      <c r="G37" s="23" t="s">
        <v>54</v>
      </c>
      <c r="H37" s="24">
        <v>0.03</v>
      </c>
      <c r="I37" s="25">
        <v>22.13</v>
      </c>
      <c r="J37" s="25">
        <v>0.66</v>
      </c>
    </row>
    <row r="38" spans="1:10" ht="27" customHeight="1">
      <c r="A38" s="21" t="s">
        <v>40</v>
      </c>
      <c r="B38" s="22" t="s">
        <v>367</v>
      </c>
      <c r="C38" s="21" t="s">
        <v>29</v>
      </c>
      <c r="D38" s="21" t="s">
        <v>693</v>
      </c>
      <c r="E38" s="210" t="s">
        <v>41</v>
      </c>
      <c r="F38" s="210"/>
      <c r="G38" s="23" t="s">
        <v>32</v>
      </c>
      <c r="H38" s="24">
        <v>2.5720000000000001</v>
      </c>
      <c r="I38" s="25">
        <v>2.25</v>
      </c>
      <c r="J38" s="25">
        <v>5.78</v>
      </c>
    </row>
    <row r="39" spans="1:10" ht="27.6">
      <c r="A39" s="26"/>
      <c r="B39" s="26"/>
      <c r="C39" s="26"/>
      <c r="D39" s="26"/>
      <c r="E39" s="161" t="s">
        <v>42</v>
      </c>
      <c r="F39" s="162">
        <v>4.87</v>
      </c>
      <c r="G39" s="26" t="s">
        <v>43</v>
      </c>
      <c r="H39" s="27">
        <v>0</v>
      </c>
      <c r="I39" s="26" t="s">
        <v>44</v>
      </c>
      <c r="J39" s="27">
        <v>4.87</v>
      </c>
    </row>
    <row r="40" spans="1:10" ht="15" customHeight="1" thickBot="1">
      <c r="A40" s="159"/>
      <c r="B40" s="159"/>
      <c r="C40" s="159"/>
      <c r="D40" s="159"/>
      <c r="E40" s="163" t="s">
        <v>45</v>
      </c>
      <c r="F40" s="164">
        <v>3.95</v>
      </c>
      <c r="G40" s="159"/>
      <c r="H40" s="213" t="s">
        <v>46</v>
      </c>
      <c r="I40" s="213"/>
      <c r="J40" s="160">
        <v>17.68</v>
      </c>
    </row>
    <row r="41" spans="1:10" ht="18" customHeight="1" thickTop="1">
      <c r="A41" s="42" t="s">
        <v>596</v>
      </c>
      <c r="B41" s="43" t="s">
        <v>18</v>
      </c>
      <c r="C41" s="42" t="s">
        <v>19</v>
      </c>
      <c r="D41" s="42" t="s">
        <v>6</v>
      </c>
      <c r="E41" s="212" t="s">
        <v>37</v>
      </c>
      <c r="F41" s="212"/>
      <c r="G41" s="44" t="s">
        <v>20</v>
      </c>
      <c r="H41" s="43" t="s">
        <v>21</v>
      </c>
      <c r="I41" s="43" t="s">
        <v>22</v>
      </c>
      <c r="J41" s="43" t="s">
        <v>7</v>
      </c>
    </row>
    <row r="42" spans="1:10" ht="27" customHeight="1">
      <c r="A42" s="154" t="s">
        <v>38</v>
      </c>
      <c r="B42" s="155" t="s">
        <v>452</v>
      </c>
      <c r="C42" s="154" t="s">
        <v>29</v>
      </c>
      <c r="D42" s="154" t="s">
        <v>453</v>
      </c>
      <c r="E42" s="214" t="s">
        <v>242</v>
      </c>
      <c r="F42" s="214"/>
      <c r="G42" s="156" t="s">
        <v>27</v>
      </c>
      <c r="H42" s="157">
        <v>1</v>
      </c>
      <c r="I42" s="158">
        <v>21.560000000000002</v>
      </c>
      <c r="J42" s="158">
        <v>21.56</v>
      </c>
    </row>
    <row r="43" spans="1:10" ht="27" customHeight="1">
      <c r="A43" s="28" t="s">
        <v>47</v>
      </c>
      <c r="B43" s="29" t="s">
        <v>249</v>
      </c>
      <c r="C43" s="28" t="s">
        <v>29</v>
      </c>
      <c r="D43" s="28" t="s">
        <v>250</v>
      </c>
      <c r="E43" s="211" t="s">
        <v>57</v>
      </c>
      <c r="F43" s="211"/>
      <c r="G43" s="30" t="s">
        <v>59</v>
      </c>
      <c r="H43" s="31">
        <v>2.0000000000000001E-4</v>
      </c>
      <c r="I43" s="32">
        <v>21.68</v>
      </c>
      <c r="J43" s="32">
        <v>0</v>
      </c>
    </row>
    <row r="44" spans="1:10" ht="27" customHeight="1">
      <c r="A44" s="28" t="s">
        <v>47</v>
      </c>
      <c r="B44" s="29" t="s">
        <v>251</v>
      </c>
      <c r="C44" s="28" t="s">
        <v>29</v>
      </c>
      <c r="D44" s="28" t="s">
        <v>252</v>
      </c>
      <c r="E44" s="211" t="s">
        <v>57</v>
      </c>
      <c r="F44" s="211"/>
      <c r="G44" s="30" t="s">
        <v>58</v>
      </c>
      <c r="H44" s="31">
        <v>1E-4</v>
      </c>
      <c r="I44" s="32">
        <v>22.92</v>
      </c>
      <c r="J44" s="32">
        <v>0</v>
      </c>
    </row>
    <row r="45" spans="1:10" ht="27" customHeight="1">
      <c r="A45" s="28" t="s">
        <v>47</v>
      </c>
      <c r="B45" s="29" t="s">
        <v>62</v>
      </c>
      <c r="C45" s="28" t="s">
        <v>29</v>
      </c>
      <c r="D45" s="28" t="s">
        <v>63</v>
      </c>
      <c r="E45" s="211" t="s">
        <v>50</v>
      </c>
      <c r="F45" s="211"/>
      <c r="G45" s="30" t="s">
        <v>51</v>
      </c>
      <c r="H45" s="31">
        <v>0.183</v>
      </c>
      <c r="I45" s="32">
        <v>23.8</v>
      </c>
      <c r="J45" s="32">
        <v>4.3499999999999996</v>
      </c>
    </row>
    <row r="46" spans="1:10" ht="27" customHeight="1">
      <c r="A46" s="28" t="s">
        <v>47</v>
      </c>
      <c r="B46" s="29" t="s">
        <v>48</v>
      </c>
      <c r="C46" s="28" t="s">
        <v>29</v>
      </c>
      <c r="D46" s="28" t="s">
        <v>49</v>
      </c>
      <c r="E46" s="211" t="s">
        <v>50</v>
      </c>
      <c r="F46" s="211"/>
      <c r="G46" s="30" t="s">
        <v>51</v>
      </c>
      <c r="H46" s="31">
        <v>0.184</v>
      </c>
      <c r="I46" s="32">
        <v>19.48</v>
      </c>
      <c r="J46" s="32">
        <v>3.58</v>
      </c>
    </row>
    <row r="47" spans="1:10" ht="21" customHeight="1">
      <c r="A47" s="21" t="s">
        <v>40</v>
      </c>
      <c r="B47" s="22" t="s">
        <v>694</v>
      </c>
      <c r="C47" s="21" t="s">
        <v>29</v>
      </c>
      <c r="D47" s="21" t="s">
        <v>695</v>
      </c>
      <c r="E47" s="210" t="s">
        <v>41</v>
      </c>
      <c r="F47" s="210"/>
      <c r="G47" s="23" t="s">
        <v>27</v>
      </c>
      <c r="H47" s="24">
        <v>1.18</v>
      </c>
      <c r="I47" s="25">
        <v>10.41</v>
      </c>
      <c r="J47" s="25">
        <v>12.28</v>
      </c>
    </row>
    <row r="48" spans="1:10" ht="27" customHeight="1">
      <c r="A48" s="21" t="s">
        <v>40</v>
      </c>
      <c r="B48" s="22" t="s">
        <v>696</v>
      </c>
      <c r="C48" s="21" t="s">
        <v>29</v>
      </c>
      <c r="D48" s="21" t="s">
        <v>697</v>
      </c>
      <c r="E48" s="210" t="s">
        <v>41</v>
      </c>
      <c r="F48" s="210"/>
      <c r="G48" s="23" t="s">
        <v>32</v>
      </c>
      <c r="H48" s="24">
        <v>0.88</v>
      </c>
      <c r="I48" s="25">
        <v>1.54</v>
      </c>
      <c r="J48" s="25">
        <v>1.35</v>
      </c>
    </row>
    <row r="49" spans="1:10" ht="27.6">
      <c r="A49" s="26"/>
      <c r="B49" s="26"/>
      <c r="C49" s="26"/>
      <c r="D49" s="26"/>
      <c r="E49" s="161" t="s">
        <v>42</v>
      </c>
      <c r="F49" s="162">
        <v>5.35</v>
      </c>
      <c r="G49" s="26" t="s">
        <v>43</v>
      </c>
      <c r="H49" s="27">
        <v>0</v>
      </c>
      <c r="I49" s="26" t="s">
        <v>44</v>
      </c>
      <c r="J49" s="27">
        <v>5.35</v>
      </c>
    </row>
    <row r="50" spans="1:10" ht="15" customHeight="1" thickBot="1">
      <c r="A50" s="159"/>
      <c r="B50" s="159"/>
      <c r="C50" s="159"/>
      <c r="D50" s="159"/>
      <c r="E50" s="163" t="s">
        <v>45</v>
      </c>
      <c r="F50" s="164">
        <v>6.21</v>
      </c>
      <c r="G50" s="159"/>
      <c r="H50" s="213" t="s">
        <v>46</v>
      </c>
      <c r="I50" s="213"/>
      <c r="J50" s="160">
        <v>27.77</v>
      </c>
    </row>
    <row r="51" spans="1:10" ht="18" customHeight="1" thickTop="1">
      <c r="A51" s="42" t="s">
        <v>597</v>
      </c>
      <c r="B51" s="43" t="s">
        <v>18</v>
      </c>
      <c r="C51" s="42" t="s">
        <v>19</v>
      </c>
      <c r="D51" s="42" t="s">
        <v>6</v>
      </c>
      <c r="E51" s="212" t="s">
        <v>37</v>
      </c>
      <c r="F51" s="212"/>
      <c r="G51" s="44" t="s">
        <v>20</v>
      </c>
      <c r="H51" s="43" t="s">
        <v>21</v>
      </c>
      <c r="I51" s="43" t="s">
        <v>22</v>
      </c>
      <c r="J51" s="43" t="s">
        <v>7</v>
      </c>
    </row>
    <row r="52" spans="1:10" ht="39" customHeight="1">
      <c r="A52" s="154" t="s">
        <v>38</v>
      </c>
      <c r="B52" s="155" t="s">
        <v>455</v>
      </c>
      <c r="C52" s="154" t="s">
        <v>29</v>
      </c>
      <c r="D52" s="154" t="s">
        <v>456</v>
      </c>
      <c r="E52" s="214" t="s">
        <v>242</v>
      </c>
      <c r="F52" s="214"/>
      <c r="G52" s="156" t="s">
        <v>32</v>
      </c>
      <c r="H52" s="157">
        <v>1</v>
      </c>
      <c r="I52" s="158">
        <v>32.31</v>
      </c>
      <c r="J52" s="158">
        <v>32.31</v>
      </c>
    </row>
    <row r="53" spans="1:10" ht="27" customHeight="1">
      <c r="A53" s="28" t="s">
        <v>47</v>
      </c>
      <c r="B53" s="29" t="s">
        <v>249</v>
      </c>
      <c r="C53" s="28" t="s">
        <v>29</v>
      </c>
      <c r="D53" s="28" t="s">
        <v>250</v>
      </c>
      <c r="E53" s="211" t="s">
        <v>57</v>
      </c>
      <c r="F53" s="211"/>
      <c r="G53" s="30" t="s">
        <v>59</v>
      </c>
      <c r="H53" s="31">
        <v>8.6999999999999994E-3</v>
      </c>
      <c r="I53" s="32">
        <v>21.68</v>
      </c>
      <c r="J53" s="32">
        <v>0.18</v>
      </c>
    </row>
    <row r="54" spans="1:10" ht="27" customHeight="1">
      <c r="A54" s="28" t="s">
        <v>47</v>
      </c>
      <c r="B54" s="29" t="s">
        <v>251</v>
      </c>
      <c r="C54" s="28" t="s">
        <v>29</v>
      </c>
      <c r="D54" s="28" t="s">
        <v>252</v>
      </c>
      <c r="E54" s="211" t="s">
        <v>57</v>
      </c>
      <c r="F54" s="211"/>
      <c r="G54" s="30" t="s">
        <v>58</v>
      </c>
      <c r="H54" s="31">
        <v>6.3E-3</v>
      </c>
      <c r="I54" s="32">
        <v>22.92</v>
      </c>
      <c r="J54" s="32">
        <v>0.14000000000000001</v>
      </c>
    </row>
    <row r="55" spans="1:10" ht="27" customHeight="1">
      <c r="A55" s="28" t="s">
        <v>47</v>
      </c>
      <c r="B55" s="29" t="s">
        <v>48</v>
      </c>
      <c r="C55" s="28" t="s">
        <v>29</v>
      </c>
      <c r="D55" s="28" t="s">
        <v>49</v>
      </c>
      <c r="E55" s="211" t="s">
        <v>50</v>
      </c>
      <c r="F55" s="211"/>
      <c r="G55" s="30" t="s">
        <v>51</v>
      </c>
      <c r="H55" s="31">
        <v>0.35</v>
      </c>
      <c r="I55" s="32">
        <v>19.48</v>
      </c>
      <c r="J55" s="32">
        <v>6.81</v>
      </c>
    </row>
    <row r="56" spans="1:10" ht="27" customHeight="1">
      <c r="A56" s="28" t="s">
        <v>47</v>
      </c>
      <c r="B56" s="29" t="s">
        <v>62</v>
      </c>
      <c r="C56" s="28" t="s">
        <v>29</v>
      </c>
      <c r="D56" s="28" t="s">
        <v>63</v>
      </c>
      <c r="E56" s="211" t="s">
        <v>50</v>
      </c>
      <c r="F56" s="211"/>
      <c r="G56" s="30" t="s">
        <v>51</v>
      </c>
      <c r="H56" s="31">
        <v>0.30499999999999999</v>
      </c>
      <c r="I56" s="32">
        <v>23.8</v>
      </c>
      <c r="J56" s="32">
        <v>7.25</v>
      </c>
    </row>
    <row r="57" spans="1:10" ht="27" customHeight="1">
      <c r="A57" s="28" t="s">
        <v>47</v>
      </c>
      <c r="B57" s="29" t="s">
        <v>265</v>
      </c>
      <c r="C57" s="28" t="s">
        <v>29</v>
      </c>
      <c r="D57" s="28" t="s">
        <v>368</v>
      </c>
      <c r="E57" s="211" t="s">
        <v>50</v>
      </c>
      <c r="F57" s="211"/>
      <c r="G57" s="30" t="s">
        <v>31</v>
      </c>
      <c r="H57" s="31">
        <v>1.17E-2</v>
      </c>
      <c r="I57" s="32">
        <v>728.01</v>
      </c>
      <c r="J57" s="32">
        <v>8.51</v>
      </c>
    </row>
    <row r="58" spans="1:10" ht="27" customHeight="1">
      <c r="A58" s="21" t="s">
        <v>40</v>
      </c>
      <c r="B58" s="22" t="s">
        <v>266</v>
      </c>
      <c r="C58" s="21" t="s">
        <v>29</v>
      </c>
      <c r="D58" s="21" t="s">
        <v>267</v>
      </c>
      <c r="E58" s="210" t="s">
        <v>41</v>
      </c>
      <c r="F58" s="210"/>
      <c r="G58" s="23" t="s">
        <v>33</v>
      </c>
      <c r="H58" s="24">
        <v>3</v>
      </c>
      <c r="I58" s="25">
        <v>3.14</v>
      </c>
      <c r="J58" s="25">
        <v>9.42</v>
      </c>
    </row>
    <row r="59" spans="1:10" ht="27.6">
      <c r="A59" s="26"/>
      <c r="B59" s="26"/>
      <c r="C59" s="26"/>
      <c r="D59" s="26"/>
      <c r="E59" s="161" t="s">
        <v>42</v>
      </c>
      <c r="F59" s="162">
        <v>10.54</v>
      </c>
      <c r="G59" s="26" t="s">
        <v>43</v>
      </c>
      <c r="H59" s="27">
        <v>0</v>
      </c>
      <c r="I59" s="26" t="s">
        <v>44</v>
      </c>
      <c r="J59" s="27">
        <v>10.54</v>
      </c>
    </row>
    <row r="60" spans="1:10" ht="15" customHeight="1" thickBot="1">
      <c r="A60" s="159"/>
      <c r="B60" s="159"/>
      <c r="C60" s="159"/>
      <c r="D60" s="159"/>
      <c r="E60" s="163" t="s">
        <v>45</v>
      </c>
      <c r="F60" s="164">
        <v>9.31</v>
      </c>
      <c r="G60" s="159"/>
      <c r="H60" s="213" t="s">
        <v>46</v>
      </c>
      <c r="I60" s="213"/>
      <c r="J60" s="160">
        <v>41.620000000000005</v>
      </c>
    </row>
    <row r="61" spans="1:10" ht="18" customHeight="1" thickTop="1">
      <c r="A61" s="42" t="s">
        <v>599</v>
      </c>
      <c r="B61" s="43" t="s">
        <v>18</v>
      </c>
      <c r="C61" s="42" t="s">
        <v>19</v>
      </c>
      <c r="D61" s="42" t="s">
        <v>6</v>
      </c>
      <c r="E61" s="212" t="s">
        <v>37</v>
      </c>
      <c r="F61" s="212"/>
      <c r="G61" s="44" t="s">
        <v>20</v>
      </c>
      <c r="H61" s="43" t="s">
        <v>21</v>
      </c>
      <c r="I61" s="43" t="s">
        <v>22</v>
      </c>
      <c r="J61" s="43" t="s">
        <v>7</v>
      </c>
    </row>
    <row r="62" spans="1:10" ht="27" customHeight="1">
      <c r="A62" s="154" t="s">
        <v>38</v>
      </c>
      <c r="B62" s="155" t="s">
        <v>600</v>
      </c>
      <c r="C62" s="154" t="s">
        <v>29</v>
      </c>
      <c r="D62" s="154" t="s">
        <v>601</v>
      </c>
      <c r="E62" s="214" t="s">
        <v>247</v>
      </c>
      <c r="F62" s="214"/>
      <c r="G62" s="156" t="s">
        <v>27</v>
      </c>
      <c r="H62" s="157">
        <v>1</v>
      </c>
      <c r="I62" s="158">
        <v>241.44</v>
      </c>
      <c r="J62" s="158">
        <v>241.44</v>
      </c>
    </row>
    <row r="63" spans="1:10" ht="27" customHeight="1">
      <c r="A63" s="28" t="s">
        <v>47</v>
      </c>
      <c r="B63" s="29" t="s">
        <v>698</v>
      </c>
      <c r="C63" s="28" t="s">
        <v>29</v>
      </c>
      <c r="D63" s="28" t="s">
        <v>699</v>
      </c>
      <c r="E63" s="211" t="s">
        <v>50</v>
      </c>
      <c r="F63" s="211"/>
      <c r="G63" s="30" t="s">
        <v>51</v>
      </c>
      <c r="H63" s="31">
        <v>0.33479999999999999</v>
      </c>
      <c r="I63" s="32">
        <v>20.2</v>
      </c>
      <c r="J63" s="32">
        <v>6.76</v>
      </c>
    </row>
    <row r="64" spans="1:10" ht="27" customHeight="1">
      <c r="A64" s="28" t="s">
        <v>47</v>
      </c>
      <c r="B64" s="29" t="s">
        <v>700</v>
      </c>
      <c r="C64" s="28" t="s">
        <v>29</v>
      </c>
      <c r="D64" s="28" t="s">
        <v>701</v>
      </c>
      <c r="E64" s="211" t="s">
        <v>50</v>
      </c>
      <c r="F64" s="211"/>
      <c r="G64" s="30" t="s">
        <v>51</v>
      </c>
      <c r="H64" s="31">
        <v>1.4849000000000001</v>
      </c>
      <c r="I64" s="32">
        <v>20.48</v>
      </c>
      <c r="J64" s="32">
        <v>30.41</v>
      </c>
    </row>
    <row r="65" spans="1:10" ht="21" customHeight="1">
      <c r="A65" s="21" t="s">
        <v>40</v>
      </c>
      <c r="B65" s="22" t="s">
        <v>702</v>
      </c>
      <c r="C65" s="21" t="s">
        <v>29</v>
      </c>
      <c r="D65" s="21" t="s">
        <v>703</v>
      </c>
      <c r="E65" s="210" t="s">
        <v>41</v>
      </c>
      <c r="F65" s="210"/>
      <c r="G65" s="23" t="s">
        <v>54</v>
      </c>
      <c r="H65" s="24">
        <v>0.52</v>
      </c>
      <c r="I65" s="25">
        <v>8.17</v>
      </c>
      <c r="J65" s="25">
        <v>4.24</v>
      </c>
    </row>
    <row r="66" spans="1:10" ht="27" customHeight="1">
      <c r="A66" s="21" t="s">
        <v>40</v>
      </c>
      <c r="B66" s="22" t="s">
        <v>704</v>
      </c>
      <c r="C66" s="21" t="s">
        <v>29</v>
      </c>
      <c r="D66" s="21" t="s">
        <v>705</v>
      </c>
      <c r="E66" s="210" t="s">
        <v>41</v>
      </c>
      <c r="F66" s="210"/>
      <c r="G66" s="23" t="s">
        <v>76</v>
      </c>
      <c r="H66" s="24">
        <v>0.58720000000000006</v>
      </c>
      <c r="I66" s="25">
        <v>25.98</v>
      </c>
      <c r="J66" s="25">
        <v>15.25</v>
      </c>
    </row>
    <row r="67" spans="1:10" ht="27" customHeight="1">
      <c r="A67" s="21" t="s">
        <v>40</v>
      </c>
      <c r="B67" s="22" t="s">
        <v>706</v>
      </c>
      <c r="C67" s="21" t="s">
        <v>29</v>
      </c>
      <c r="D67" s="21" t="s">
        <v>707</v>
      </c>
      <c r="E67" s="210" t="s">
        <v>41</v>
      </c>
      <c r="F67" s="210"/>
      <c r="G67" s="23" t="s">
        <v>27</v>
      </c>
      <c r="H67" s="24">
        <v>1.1318999999999999</v>
      </c>
      <c r="I67" s="25">
        <v>89.99</v>
      </c>
      <c r="J67" s="25">
        <v>101.85</v>
      </c>
    </row>
    <row r="68" spans="1:10" ht="27" customHeight="1">
      <c r="A68" s="21" t="s">
        <v>40</v>
      </c>
      <c r="B68" s="22" t="s">
        <v>708</v>
      </c>
      <c r="C68" s="21" t="s">
        <v>29</v>
      </c>
      <c r="D68" s="21" t="s">
        <v>709</v>
      </c>
      <c r="E68" s="210" t="s">
        <v>41</v>
      </c>
      <c r="F68" s="210"/>
      <c r="G68" s="23" t="s">
        <v>27</v>
      </c>
      <c r="H68" s="24">
        <v>1.1318999999999999</v>
      </c>
      <c r="I68" s="25">
        <v>73.27</v>
      </c>
      <c r="J68" s="25">
        <v>82.93</v>
      </c>
    </row>
    <row r="69" spans="1:10" ht="27.6">
      <c r="A69" s="26"/>
      <c r="B69" s="26"/>
      <c r="C69" s="26"/>
      <c r="D69" s="26"/>
      <c r="E69" s="161" t="s">
        <v>42</v>
      </c>
      <c r="F69" s="162">
        <v>24.1</v>
      </c>
      <c r="G69" s="26" t="s">
        <v>43</v>
      </c>
      <c r="H69" s="27">
        <v>0</v>
      </c>
      <c r="I69" s="26" t="s">
        <v>44</v>
      </c>
      <c r="J69" s="27">
        <v>24.1</v>
      </c>
    </row>
    <row r="70" spans="1:10" ht="15" customHeight="1" thickBot="1">
      <c r="A70" s="159"/>
      <c r="B70" s="159"/>
      <c r="C70" s="159"/>
      <c r="D70" s="159"/>
      <c r="E70" s="163" t="s">
        <v>45</v>
      </c>
      <c r="F70" s="164">
        <v>69.58</v>
      </c>
      <c r="G70" s="159"/>
      <c r="H70" s="213" t="s">
        <v>46</v>
      </c>
      <c r="I70" s="213"/>
      <c r="J70" s="160">
        <v>311.02</v>
      </c>
    </row>
    <row r="71" spans="1:10" ht="18" customHeight="1" thickTop="1">
      <c r="A71" s="42" t="s">
        <v>602</v>
      </c>
      <c r="B71" s="43" t="s">
        <v>18</v>
      </c>
      <c r="C71" s="42" t="s">
        <v>19</v>
      </c>
      <c r="D71" s="42" t="s">
        <v>6</v>
      </c>
      <c r="E71" s="212" t="s">
        <v>37</v>
      </c>
      <c r="F71" s="212"/>
      <c r="G71" s="44" t="s">
        <v>20</v>
      </c>
      <c r="H71" s="43" t="s">
        <v>21</v>
      </c>
      <c r="I71" s="43" t="s">
        <v>22</v>
      </c>
      <c r="J71" s="43" t="s">
        <v>7</v>
      </c>
    </row>
    <row r="72" spans="1:10" ht="21" customHeight="1">
      <c r="A72" s="154" t="s">
        <v>38</v>
      </c>
      <c r="B72" s="155" t="s">
        <v>464</v>
      </c>
      <c r="C72" s="154" t="s">
        <v>29</v>
      </c>
      <c r="D72" s="154" t="s">
        <v>465</v>
      </c>
      <c r="E72" s="214" t="s">
        <v>50</v>
      </c>
      <c r="F72" s="214"/>
      <c r="G72" s="156" t="s">
        <v>466</v>
      </c>
      <c r="H72" s="157">
        <v>1</v>
      </c>
      <c r="I72" s="158">
        <v>29.54</v>
      </c>
      <c r="J72" s="158">
        <v>29.54</v>
      </c>
    </row>
    <row r="73" spans="1:10" ht="27" customHeight="1">
      <c r="A73" s="28" t="s">
        <v>47</v>
      </c>
      <c r="B73" s="29" t="s">
        <v>48</v>
      </c>
      <c r="C73" s="28" t="s">
        <v>29</v>
      </c>
      <c r="D73" s="28" t="s">
        <v>49</v>
      </c>
      <c r="E73" s="211" t="s">
        <v>50</v>
      </c>
      <c r="F73" s="211"/>
      <c r="G73" s="30" t="s">
        <v>51</v>
      </c>
      <c r="H73" s="31">
        <v>0.5</v>
      </c>
      <c r="I73" s="32">
        <v>19.48</v>
      </c>
      <c r="J73" s="32">
        <v>9.74</v>
      </c>
    </row>
    <row r="74" spans="1:10" ht="27" customHeight="1">
      <c r="A74" s="21" t="s">
        <v>40</v>
      </c>
      <c r="B74" s="22" t="s">
        <v>710</v>
      </c>
      <c r="C74" s="21" t="s">
        <v>29</v>
      </c>
      <c r="D74" s="21" t="s">
        <v>711</v>
      </c>
      <c r="E74" s="210" t="s">
        <v>237</v>
      </c>
      <c r="F74" s="210"/>
      <c r="G74" s="23" t="s">
        <v>712</v>
      </c>
      <c r="H74" s="24">
        <v>1</v>
      </c>
      <c r="I74" s="25">
        <v>19.8</v>
      </c>
      <c r="J74" s="25">
        <v>19.8</v>
      </c>
    </row>
    <row r="75" spans="1:10" ht="27.6">
      <c r="A75" s="26"/>
      <c r="B75" s="26"/>
      <c r="C75" s="26"/>
      <c r="D75" s="26"/>
      <c r="E75" s="161" t="s">
        <v>42</v>
      </c>
      <c r="F75" s="162">
        <v>6.21</v>
      </c>
      <c r="G75" s="26" t="s">
        <v>43</v>
      </c>
      <c r="H75" s="27">
        <v>0</v>
      </c>
      <c r="I75" s="26" t="s">
        <v>44</v>
      </c>
      <c r="J75" s="27">
        <v>6.21</v>
      </c>
    </row>
    <row r="76" spans="1:10" ht="15" customHeight="1" thickBot="1">
      <c r="A76" s="159"/>
      <c r="B76" s="159"/>
      <c r="C76" s="159"/>
      <c r="D76" s="159"/>
      <c r="E76" s="163" t="s">
        <v>45</v>
      </c>
      <c r="F76" s="164">
        <v>8.51</v>
      </c>
      <c r="G76" s="159"/>
      <c r="H76" s="213" t="s">
        <v>46</v>
      </c>
      <c r="I76" s="213"/>
      <c r="J76" s="160">
        <v>38.049999999999997</v>
      </c>
    </row>
    <row r="77" spans="1:10" ht="18" customHeight="1" thickTop="1">
      <c r="A77" s="42" t="s">
        <v>280</v>
      </c>
      <c r="B77" s="43" t="s">
        <v>18</v>
      </c>
      <c r="C77" s="42" t="s">
        <v>19</v>
      </c>
      <c r="D77" s="42" t="s">
        <v>6</v>
      </c>
      <c r="E77" s="212" t="s">
        <v>37</v>
      </c>
      <c r="F77" s="212"/>
      <c r="G77" s="44" t="s">
        <v>20</v>
      </c>
      <c r="H77" s="43" t="s">
        <v>21</v>
      </c>
      <c r="I77" s="43" t="s">
        <v>22</v>
      </c>
      <c r="J77" s="43" t="s">
        <v>7</v>
      </c>
    </row>
    <row r="78" spans="1:10" ht="21" customHeight="1">
      <c r="A78" s="154" t="s">
        <v>38</v>
      </c>
      <c r="B78" s="155" t="s">
        <v>468</v>
      </c>
      <c r="C78" s="154" t="s">
        <v>29</v>
      </c>
      <c r="D78" s="154" t="s">
        <v>469</v>
      </c>
      <c r="E78" s="214" t="s">
        <v>713</v>
      </c>
      <c r="F78" s="214"/>
      <c r="G78" s="156" t="s">
        <v>27</v>
      </c>
      <c r="H78" s="157">
        <v>1</v>
      </c>
      <c r="I78" s="158">
        <v>8.6300000000000008</v>
      </c>
      <c r="J78" s="158">
        <v>8.6300000000000008</v>
      </c>
    </row>
    <row r="79" spans="1:10" ht="27" customHeight="1">
      <c r="A79" s="28" t="s">
        <v>47</v>
      </c>
      <c r="B79" s="29" t="s">
        <v>48</v>
      </c>
      <c r="C79" s="28" t="s">
        <v>29</v>
      </c>
      <c r="D79" s="28" t="s">
        <v>49</v>
      </c>
      <c r="E79" s="211" t="s">
        <v>50</v>
      </c>
      <c r="F79" s="211"/>
      <c r="G79" s="30" t="s">
        <v>51</v>
      </c>
      <c r="H79" s="31">
        <v>0.3075</v>
      </c>
      <c r="I79" s="32">
        <v>19.48</v>
      </c>
      <c r="J79" s="32">
        <v>5.99</v>
      </c>
    </row>
    <row r="80" spans="1:10" ht="27" customHeight="1">
      <c r="A80" s="28" t="s">
        <v>47</v>
      </c>
      <c r="B80" s="29" t="s">
        <v>52</v>
      </c>
      <c r="C80" s="28" t="s">
        <v>29</v>
      </c>
      <c r="D80" s="28" t="s">
        <v>53</v>
      </c>
      <c r="E80" s="211" t="s">
        <v>50</v>
      </c>
      <c r="F80" s="211"/>
      <c r="G80" s="30" t="s">
        <v>51</v>
      </c>
      <c r="H80" s="31">
        <v>0.1087</v>
      </c>
      <c r="I80" s="32">
        <v>24.36</v>
      </c>
      <c r="J80" s="32">
        <v>2.64</v>
      </c>
    </row>
    <row r="81" spans="1:10" ht="27.6">
      <c r="A81" s="26"/>
      <c r="B81" s="26"/>
      <c r="C81" s="26"/>
      <c r="D81" s="26"/>
      <c r="E81" s="161" t="s">
        <v>42</v>
      </c>
      <c r="F81" s="162">
        <v>5.68</v>
      </c>
      <c r="G81" s="26" t="s">
        <v>43</v>
      </c>
      <c r="H81" s="27">
        <v>0</v>
      </c>
      <c r="I81" s="26" t="s">
        <v>44</v>
      </c>
      <c r="J81" s="27">
        <v>5.68</v>
      </c>
    </row>
    <row r="82" spans="1:10" ht="15" customHeight="1" thickBot="1">
      <c r="A82" s="159"/>
      <c r="B82" s="159"/>
      <c r="C82" s="159"/>
      <c r="D82" s="159"/>
      <c r="E82" s="163" t="s">
        <v>45</v>
      </c>
      <c r="F82" s="164">
        <v>2.48</v>
      </c>
      <c r="G82" s="159"/>
      <c r="H82" s="213" t="s">
        <v>46</v>
      </c>
      <c r="I82" s="213"/>
      <c r="J82" s="160">
        <v>11.110000000000001</v>
      </c>
    </row>
    <row r="83" spans="1:10" ht="18" customHeight="1" thickTop="1">
      <c r="A83" s="42" t="s">
        <v>281</v>
      </c>
      <c r="B83" s="43" t="s">
        <v>18</v>
      </c>
      <c r="C83" s="42" t="s">
        <v>19</v>
      </c>
      <c r="D83" s="42" t="s">
        <v>6</v>
      </c>
      <c r="E83" s="212" t="s">
        <v>37</v>
      </c>
      <c r="F83" s="212"/>
      <c r="G83" s="44" t="s">
        <v>20</v>
      </c>
      <c r="H83" s="43" t="s">
        <v>21</v>
      </c>
      <c r="I83" s="43" t="s">
        <v>22</v>
      </c>
      <c r="J83" s="43" t="s">
        <v>7</v>
      </c>
    </row>
    <row r="84" spans="1:10" ht="54" customHeight="1">
      <c r="A84" s="154" t="s">
        <v>38</v>
      </c>
      <c r="B84" s="155" t="s">
        <v>399</v>
      </c>
      <c r="C84" s="154" t="s">
        <v>29</v>
      </c>
      <c r="D84" s="154" t="s">
        <v>470</v>
      </c>
      <c r="E84" s="214" t="s">
        <v>86</v>
      </c>
      <c r="F84" s="214"/>
      <c r="G84" s="156" t="s">
        <v>33</v>
      </c>
      <c r="H84" s="157">
        <v>1</v>
      </c>
      <c r="I84" s="158">
        <v>992.36</v>
      </c>
      <c r="J84" s="158">
        <v>992.36</v>
      </c>
    </row>
    <row r="85" spans="1:10" ht="27" customHeight="1">
      <c r="A85" s="28" t="s">
        <v>47</v>
      </c>
      <c r="B85" s="29" t="s">
        <v>362</v>
      </c>
      <c r="C85" s="28" t="s">
        <v>29</v>
      </c>
      <c r="D85" s="28" t="s">
        <v>363</v>
      </c>
      <c r="E85" s="211" t="s">
        <v>86</v>
      </c>
      <c r="F85" s="211"/>
      <c r="G85" s="30" t="s">
        <v>33</v>
      </c>
      <c r="H85" s="31">
        <v>1</v>
      </c>
      <c r="I85" s="32">
        <v>450.08</v>
      </c>
      <c r="J85" s="32">
        <v>450.08</v>
      </c>
    </row>
    <row r="86" spans="1:10" ht="27" customHeight="1">
      <c r="A86" s="28" t="s">
        <v>47</v>
      </c>
      <c r="B86" s="29" t="s">
        <v>357</v>
      </c>
      <c r="C86" s="28" t="s">
        <v>29</v>
      </c>
      <c r="D86" s="28" t="s">
        <v>358</v>
      </c>
      <c r="E86" s="211" t="s">
        <v>86</v>
      </c>
      <c r="F86" s="211"/>
      <c r="G86" s="30" t="s">
        <v>32</v>
      </c>
      <c r="H86" s="31">
        <v>10</v>
      </c>
      <c r="I86" s="32">
        <v>7.77</v>
      </c>
      <c r="J86" s="32">
        <v>77.7</v>
      </c>
    </row>
    <row r="87" spans="1:10" ht="27" customHeight="1">
      <c r="A87" s="28" t="s">
        <v>47</v>
      </c>
      <c r="B87" s="29" t="s">
        <v>359</v>
      </c>
      <c r="C87" s="28" t="s">
        <v>29</v>
      </c>
      <c r="D87" s="28" t="s">
        <v>714</v>
      </c>
      <c r="E87" s="211" t="s">
        <v>86</v>
      </c>
      <c r="F87" s="211"/>
      <c r="G87" s="30" t="s">
        <v>33</v>
      </c>
      <c r="H87" s="31">
        <v>1</v>
      </c>
      <c r="I87" s="32">
        <v>307.94</v>
      </c>
      <c r="J87" s="32">
        <v>307.94</v>
      </c>
    </row>
    <row r="88" spans="1:10" ht="27" customHeight="1">
      <c r="A88" s="28" t="s">
        <v>47</v>
      </c>
      <c r="B88" s="29" t="s">
        <v>360</v>
      </c>
      <c r="C88" s="28" t="s">
        <v>29</v>
      </c>
      <c r="D88" s="28" t="s">
        <v>361</v>
      </c>
      <c r="E88" s="211" t="s">
        <v>86</v>
      </c>
      <c r="F88" s="211"/>
      <c r="G88" s="30" t="s">
        <v>33</v>
      </c>
      <c r="H88" s="31">
        <v>1</v>
      </c>
      <c r="I88" s="32">
        <v>156.63999999999999</v>
      </c>
      <c r="J88" s="32">
        <v>156.63999999999999</v>
      </c>
    </row>
    <row r="89" spans="1:10" ht="27.6">
      <c r="A89" s="26"/>
      <c r="B89" s="26"/>
      <c r="C89" s="26"/>
      <c r="D89" s="26"/>
      <c r="E89" s="161" t="s">
        <v>42</v>
      </c>
      <c r="F89" s="162">
        <v>179.24</v>
      </c>
      <c r="G89" s="26" t="s">
        <v>43</v>
      </c>
      <c r="H89" s="27">
        <v>0</v>
      </c>
      <c r="I89" s="26" t="s">
        <v>44</v>
      </c>
      <c r="J89" s="27">
        <v>179.24</v>
      </c>
    </row>
    <row r="90" spans="1:10" ht="15" customHeight="1" thickBot="1">
      <c r="A90" s="159"/>
      <c r="B90" s="159"/>
      <c r="C90" s="159"/>
      <c r="D90" s="159"/>
      <c r="E90" s="163" t="s">
        <v>45</v>
      </c>
      <c r="F90" s="164">
        <v>285.99</v>
      </c>
      <c r="G90" s="159"/>
      <c r="H90" s="213" t="s">
        <v>46</v>
      </c>
      <c r="I90" s="213"/>
      <c r="J90" s="160">
        <v>1278.3499999999999</v>
      </c>
    </row>
    <row r="91" spans="1:10" ht="18" customHeight="1" thickTop="1">
      <c r="A91" s="42" t="s">
        <v>282</v>
      </c>
      <c r="B91" s="43" t="s">
        <v>18</v>
      </c>
      <c r="C91" s="42" t="s">
        <v>19</v>
      </c>
      <c r="D91" s="42" t="s">
        <v>6</v>
      </c>
      <c r="E91" s="212" t="s">
        <v>37</v>
      </c>
      <c r="F91" s="212"/>
      <c r="G91" s="44" t="s">
        <v>20</v>
      </c>
      <c r="H91" s="43" t="s">
        <v>21</v>
      </c>
      <c r="I91" s="43" t="s">
        <v>22</v>
      </c>
      <c r="J91" s="43" t="s">
        <v>7</v>
      </c>
    </row>
    <row r="92" spans="1:10" ht="54" customHeight="1">
      <c r="A92" s="154" t="s">
        <v>38</v>
      </c>
      <c r="B92" s="155" t="s">
        <v>471</v>
      </c>
      <c r="C92" s="154" t="s">
        <v>29</v>
      </c>
      <c r="D92" s="154" t="s">
        <v>472</v>
      </c>
      <c r="E92" s="214" t="s">
        <v>86</v>
      </c>
      <c r="F92" s="214"/>
      <c r="G92" s="156" t="s">
        <v>33</v>
      </c>
      <c r="H92" s="157">
        <v>1</v>
      </c>
      <c r="I92" s="158">
        <v>1033.56</v>
      </c>
      <c r="J92" s="158">
        <v>1033.56</v>
      </c>
    </row>
    <row r="93" spans="1:10" ht="27" customHeight="1">
      <c r="A93" s="28" t="s">
        <v>47</v>
      </c>
      <c r="B93" s="29" t="s">
        <v>359</v>
      </c>
      <c r="C93" s="28" t="s">
        <v>29</v>
      </c>
      <c r="D93" s="28" t="s">
        <v>714</v>
      </c>
      <c r="E93" s="211" t="s">
        <v>86</v>
      </c>
      <c r="F93" s="211"/>
      <c r="G93" s="30" t="s">
        <v>33</v>
      </c>
      <c r="H93" s="31">
        <v>1</v>
      </c>
      <c r="I93" s="32">
        <v>307.94</v>
      </c>
      <c r="J93" s="32">
        <v>307.94</v>
      </c>
    </row>
    <row r="94" spans="1:10" ht="27" customHeight="1">
      <c r="A94" s="28" t="s">
        <v>47</v>
      </c>
      <c r="B94" s="29" t="s">
        <v>357</v>
      </c>
      <c r="C94" s="28" t="s">
        <v>29</v>
      </c>
      <c r="D94" s="28" t="s">
        <v>358</v>
      </c>
      <c r="E94" s="211" t="s">
        <v>86</v>
      </c>
      <c r="F94" s="211"/>
      <c r="G94" s="30" t="s">
        <v>32</v>
      </c>
      <c r="H94" s="31">
        <v>10.199999999999999</v>
      </c>
      <c r="I94" s="32">
        <v>7.77</v>
      </c>
      <c r="J94" s="32">
        <v>79.25</v>
      </c>
    </row>
    <row r="95" spans="1:10" ht="27" customHeight="1">
      <c r="A95" s="28" t="s">
        <v>47</v>
      </c>
      <c r="B95" s="29" t="s">
        <v>715</v>
      </c>
      <c r="C95" s="28" t="s">
        <v>29</v>
      </c>
      <c r="D95" s="28" t="s">
        <v>716</v>
      </c>
      <c r="E95" s="211" t="s">
        <v>86</v>
      </c>
      <c r="F95" s="211"/>
      <c r="G95" s="30" t="s">
        <v>33</v>
      </c>
      <c r="H95" s="31">
        <v>1</v>
      </c>
      <c r="I95" s="32">
        <v>489.73</v>
      </c>
      <c r="J95" s="32">
        <v>489.73</v>
      </c>
    </row>
    <row r="96" spans="1:10" ht="27" customHeight="1">
      <c r="A96" s="28" t="s">
        <v>47</v>
      </c>
      <c r="B96" s="29" t="s">
        <v>360</v>
      </c>
      <c r="C96" s="28" t="s">
        <v>29</v>
      </c>
      <c r="D96" s="28" t="s">
        <v>361</v>
      </c>
      <c r="E96" s="211" t="s">
        <v>86</v>
      </c>
      <c r="F96" s="211"/>
      <c r="G96" s="30" t="s">
        <v>33</v>
      </c>
      <c r="H96" s="31">
        <v>1</v>
      </c>
      <c r="I96" s="32">
        <v>156.63999999999999</v>
      </c>
      <c r="J96" s="32">
        <v>156.63999999999999</v>
      </c>
    </row>
    <row r="97" spans="1:10" ht="27.6">
      <c r="A97" s="26"/>
      <c r="B97" s="26"/>
      <c r="C97" s="26"/>
      <c r="D97" s="26"/>
      <c r="E97" s="161" t="s">
        <v>42</v>
      </c>
      <c r="F97" s="162">
        <v>182.48</v>
      </c>
      <c r="G97" s="26" t="s">
        <v>43</v>
      </c>
      <c r="H97" s="27">
        <v>0</v>
      </c>
      <c r="I97" s="26" t="s">
        <v>44</v>
      </c>
      <c r="J97" s="27">
        <v>182.48</v>
      </c>
    </row>
    <row r="98" spans="1:10" ht="15" customHeight="1" thickBot="1">
      <c r="A98" s="159"/>
      <c r="B98" s="159"/>
      <c r="C98" s="159"/>
      <c r="D98" s="159"/>
      <c r="E98" s="163" t="s">
        <v>45</v>
      </c>
      <c r="F98" s="164">
        <v>297.87</v>
      </c>
      <c r="G98" s="159"/>
      <c r="H98" s="213" t="s">
        <v>46</v>
      </c>
      <c r="I98" s="213"/>
      <c r="J98" s="160">
        <v>1331.4299999999998</v>
      </c>
    </row>
    <row r="99" spans="1:10" ht="18" customHeight="1" thickTop="1">
      <c r="A99" s="42" t="s">
        <v>604</v>
      </c>
      <c r="B99" s="43" t="s">
        <v>18</v>
      </c>
      <c r="C99" s="42" t="s">
        <v>19</v>
      </c>
      <c r="D99" s="42" t="s">
        <v>6</v>
      </c>
      <c r="E99" s="212" t="s">
        <v>37</v>
      </c>
      <c r="F99" s="212"/>
      <c r="G99" s="44" t="s">
        <v>20</v>
      </c>
      <c r="H99" s="43" t="s">
        <v>21</v>
      </c>
      <c r="I99" s="43" t="s">
        <v>22</v>
      </c>
      <c r="J99" s="43" t="s">
        <v>7</v>
      </c>
    </row>
    <row r="100" spans="1:10" ht="21" customHeight="1">
      <c r="A100" s="154" t="s">
        <v>38</v>
      </c>
      <c r="B100" s="155" t="s">
        <v>474</v>
      </c>
      <c r="C100" s="154" t="s">
        <v>29</v>
      </c>
      <c r="D100" s="154" t="s">
        <v>475</v>
      </c>
      <c r="E100" s="214" t="s">
        <v>713</v>
      </c>
      <c r="F100" s="214"/>
      <c r="G100" s="156" t="s">
        <v>27</v>
      </c>
      <c r="H100" s="157">
        <v>1</v>
      </c>
      <c r="I100" s="158">
        <v>22.28</v>
      </c>
      <c r="J100" s="158">
        <v>22.28</v>
      </c>
    </row>
    <row r="101" spans="1:10" ht="27" customHeight="1">
      <c r="A101" s="28" t="s">
        <v>47</v>
      </c>
      <c r="B101" s="29" t="s">
        <v>48</v>
      </c>
      <c r="C101" s="28" t="s">
        <v>29</v>
      </c>
      <c r="D101" s="28" t="s">
        <v>49</v>
      </c>
      <c r="E101" s="211" t="s">
        <v>50</v>
      </c>
      <c r="F101" s="211"/>
      <c r="G101" s="30" t="s">
        <v>51</v>
      </c>
      <c r="H101" s="31">
        <v>0.79359999999999997</v>
      </c>
      <c r="I101" s="32">
        <v>19.48</v>
      </c>
      <c r="J101" s="32">
        <v>15.45</v>
      </c>
    </row>
    <row r="102" spans="1:10" ht="27" customHeight="1">
      <c r="A102" s="28" t="s">
        <v>47</v>
      </c>
      <c r="B102" s="29" t="s">
        <v>52</v>
      </c>
      <c r="C102" s="28" t="s">
        <v>29</v>
      </c>
      <c r="D102" s="28" t="s">
        <v>53</v>
      </c>
      <c r="E102" s="211" t="s">
        <v>50</v>
      </c>
      <c r="F102" s="211"/>
      <c r="G102" s="30" t="s">
        <v>51</v>
      </c>
      <c r="H102" s="31">
        <v>0.28070000000000001</v>
      </c>
      <c r="I102" s="32">
        <v>24.36</v>
      </c>
      <c r="J102" s="32">
        <v>6.83</v>
      </c>
    </row>
    <row r="103" spans="1:10" ht="27.6">
      <c r="A103" s="26"/>
      <c r="B103" s="26"/>
      <c r="C103" s="26"/>
      <c r="D103" s="26"/>
      <c r="E103" s="161" t="s">
        <v>42</v>
      </c>
      <c r="F103" s="162">
        <v>14.68</v>
      </c>
      <c r="G103" s="26" t="s">
        <v>43</v>
      </c>
      <c r="H103" s="27">
        <v>0</v>
      </c>
      <c r="I103" s="26" t="s">
        <v>44</v>
      </c>
      <c r="J103" s="27">
        <v>14.68</v>
      </c>
    </row>
    <row r="104" spans="1:10" ht="15" customHeight="1" thickBot="1">
      <c r="A104" s="159"/>
      <c r="B104" s="159"/>
      <c r="C104" s="159"/>
      <c r="D104" s="159"/>
      <c r="E104" s="163" t="s">
        <v>45</v>
      </c>
      <c r="F104" s="164">
        <v>6.42</v>
      </c>
      <c r="G104" s="159"/>
      <c r="H104" s="213" t="s">
        <v>46</v>
      </c>
      <c r="I104" s="213"/>
      <c r="J104" s="160">
        <v>28.700000000000003</v>
      </c>
    </row>
    <row r="105" spans="1:10" ht="18" customHeight="1" thickTop="1">
      <c r="A105" s="42" t="s">
        <v>605</v>
      </c>
      <c r="B105" s="43" t="s">
        <v>18</v>
      </c>
      <c r="C105" s="42" t="s">
        <v>19</v>
      </c>
      <c r="D105" s="42" t="s">
        <v>6</v>
      </c>
      <c r="E105" s="212" t="s">
        <v>37</v>
      </c>
      <c r="F105" s="212"/>
      <c r="G105" s="44" t="s">
        <v>20</v>
      </c>
      <c r="H105" s="43" t="s">
        <v>21</v>
      </c>
      <c r="I105" s="43" t="s">
        <v>22</v>
      </c>
      <c r="J105" s="43" t="s">
        <v>7</v>
      </c>
    </row>
    <row r="106" spans="1:10" ht="39" customHeight="1">
      <c r="A106" s="154" t="s">
        <v>38</v>
      </c>
      <c r="B106" s="155" t="s">
        <v>353</v>
      </c>
      <c r="C106" s="154" t="s">
        <v>29</v>
      </c>
      <c r="D106" s="154" t="s">
        <v>354</v>
      </c>
      <c r="E106" s="214" t="s">
        <v>86</v>
      </c>
      <c r="F106" s="214"/>
      <c r="G106" s="156" t="s">
        <v>27</v>
      </c>
      <c r="H106" s="157">
        <v>1</v>
      </c>
      <c r="I106" s="158">
        <v>463.46</v>
      </c>
      <c r="J106" s="158">
        <v>463.46</v>
      </c>
    </row>
    <row r="107" spans="1:10" ht="27" customHeight="1">
      <c r="A107" s="28" t="s">
        <v>47</v>
      </c>
      <c r="B107" s="29" t="s">
        <v>48</v>
      </c>
      <c r="C107" s="28" t="s">
        <v>29</v>
      </c>
      <c r="D107" s="28" t="s">
        <v>49</v>
      </c>
      <c r="E107" s="211" t="s">
        <v>50</v>
      </c>
      <c r="F107" s="211"/>
      <c r="G107" s="30" t="s">
        <v>51</v>
      </c>
      <c r="H107" s="31">
        <v>2.2909999999999999</v>
      </c>
      <c r="I107" s="32">
        <v>19.48</v>
      </c>
      <c r="J107" s="32">
        <v>44.62</v>
      </c>
    </row>
    <row r="108" spans="1:10" ht="27" customHeight="1">
      <c r="A108" s="28" t="s">
        <v>47</v>
      </c>
      <c r="B108" s="29" t="s">
        <v>364</v>
      </c>
      <c r="C108" s="28" t="s">
        <v>29</v>
      </c>
      <c r="D108" s="28" t="s">
        <v>365</v>
      </c>
      <c r="E108" s="211" t="s">
        <v>50</v>
      </c>
      <c r="F108" s="211"/>
      <c r="G108" s="30" t="s">
        <v>31</v>
      </c>
      <c r="H108" s="31">
        <v>2.1000000000000001E-2</v>
      </c>
      <c r="I108" s="32">
        <v>815.3</v>
      </c>
      <c r="J108" s="32">
        <v>17.12</v>
      </c>
    </row>
    <row r="109" spans="1:10" ht="27" customHeight="1">
      <c r="A109" s="28" t="s">
        <v>47</v>
      </c>
      <c r="B109" s="29" t="s">
        <v>52</v>
      </c>
      <c r="C109" s="28" t="s">
        <v>29</v>
      </c>
      <c r="D109" s="28" t="s">
        <v>53</v>
      </c>
      <c r="E109" s="211" t="s">
        <v>50</v>
      </c>
      <c r="F109" s="211"/>
      <c r="G109" s="30" t="s">
        <v>51</v>
      </c>
      <c r="H109" s="31">
        <v>4.5810000000000004</v>
      </c>
      <c r="I109" s="32">
        <v>24.36</v>
      </c>
      <c r="J109" s="32">
        <v>111.59</v>
      </c>
    </row>
    <row r="110" spans="1:10" ht="21" customHeight="1">
      <c r="A110" s="21" t="s">
        <v>40</v>
      </c>
      <c r="B110" s="22" t="s">
        <v>717</v>
      </c>
      <c r="C110" s="21" t="s">
        <v>29</v>
      </c>
      <c r="D110" s="21" t="s">
        <v>718</v>
      </c>
      <c r="E110" s="210" t="s">
        <v>41</v>
      </c>
      <c r="F110" s="210"/>
      <c r="G110" s="23" t="s">
        <v>33</v>
      </c>
      <c r="H110" s="24">
        <v>2.778</v>
      </c>
      <c r="I110" s="25">
        <v>104.44</v>
      </c>
      <c r="J110" s="25">
        <v>290.13</v>
      </c>
    </row>
    <row r="111" spans="1:10" ht="27.6">
      <c r="A111" s="26"/>
      <c r="B111" s="26"/>
      <c r="C111" s="26"/>
      <c r="D111" s="26"/>
      <c r="E111" s="161" t="s">
        <v>42</v>
      </c>
      <c r="F111" s="162">
        <v>109.44</v>
      </c>
      <c r="G111" s="26" t="s">
        <v>43</v>
      </c>
      <c r="H111" s="27">
        <v>0</v>
      </c>
      <c r="I111" s="26" t="s">
        <v>44</v>
      </c>
      <c r="J111" s="27">
        <v>109.44</v>
      </c>
    </row>
    <row r="112" spans="1:10" ht="15" customHeight="1" thickBot="1">
      <c r="A112" s="159"/>
      <c r="B112" s="159"/>
      <c r="C112" s="159"/>
      <c r="D112" s="159"/>
      <c r="E112" s="163" t="s">
        <v>45</v>
      </c>
      <c r="F112" s="164">
        <v>133.56</v>
      </c>
      <c r="G112" s="159"/>
      <c r="H112" s="213" t="s">
        <v>46</v>
      </c>
      <c r="I112" s="213"/>
      <c r="J112" s="160">
        <v>597.02</v>
      </c>
    </row>
    <row r="113" spans="1:10" ht="18" customHeight="1" thickTop="1">
      <c r="A113" s="42" t="s">
        <v>606</v>
      </c>
      <c r="B113" s="43" t="s">
        <v>18</v>
      </c>
      <c r="C113" s="42" t="s">
        <v>19</v>
      </c>
      <c r="D113" s="42" t="s">
        <v>6</v>
      </c>
      <c r="E113" s="212" t="s">
        <v>37</v>
      </c>
      <c r="F113" s="212"/>
      <c r="G113" s="44" t="s">
        <v>20</v>
      </c>
      <c r="H113" s="43" t="s">
        <v>21</v>
      </c>
      <c r="I113" s="43" t="s">
        <v>22</v>
      </c>
      <c r="J113" s="43" t="s">
        <v>7</v>
      </c>
    </row>
    <row r="114" spans="1:10" ht="27" customHeight="1">
      <c r="A114" s="154" t="s">
        <v>38</v>
      </c>
      <c r="B114" s="155" t="s">
        <v>293</v>
      </c>
      <c r="C114" s="154" t="s">
        <v>29</v>
      </c>
      <c r="D114" s="154" t="s">
        <v>355</v>
      </c>
      <c r="E114" s="214" t="s">
        <v>86</v>
      </c>
      <c r="F114" s="214"/>
      <c r="G114" s="156" t="s">
        <v>27</v>
      </c>
      <c r="H114" s="157">
        <v>1</v>
      </c>
      <c r="I114" s="158">
        <v>466.77</v>
      </c>
      <c r="J114" s="158">
        <v>466.77</v>
      </c>
    </row>
    <row r="115" spans="1:10" ht="27" customHeight="1">
      <c r="A115" s="28" t="s">
        <v>47</v>
      </c>
      <c r="B115" s="29" t="s">
        <v>48</v>
      </c>
      <c r="C115" s="28" t="s">
        <v>29</v>
      </c>
      <c r="D115" s="28" t="s">
        <v>49</v>
      </c>
      <c r="E115" s="211" t="s">
        <v>50</v>
      </c>
      <c r="F115" s="211"/>
      <c r="G115" s="30" t="s">
        <v>51</v>
      </c>
      <c r="H115" s="31">
        <v>0.191</v>
      </c>
      <c r="I115" s="32">
        <v>19.48</v>
      </c>
      <c r="J115" s="32">
        <v>3.72</v>
      </c>
    </row>
    <row r="116" spans="1:10" ht="27" customHeight="1">
      <c r="A116" s="28" t="s">
        <v>47</v>
      </c>
      <c r="B116" s="29" t="s">
        <v>52</v>
      </c>
      <c r="C116" s="28" t="s">
        <v>29</v>
      </c>
      <c r="D116" s="28" t="s">
        <v>53</v>
      </c>
      <c r="E116" s="211" t="s">
        <v>50</v>
      </c>
      <c r="F116" s="211"/>
      <c r="G116" s="30" t="s">
        <v>51</v>
      </c>
      <c r="H116" s="31">
        <v>0.3826</v>
      </c>
      <c r="I116" s="32">
        <v>24.36</v>
      </c>
      <c r="J116" s="32">
        <v>9.32</v>
      </c>
    </row>
    <row r="117" spans="1:10" ht="27" customHeight="1">
      <c r="A117" s="21" t="s">
        <v>40</v>
      </c>
      <c r="B117" s="22" t="s">
        <v>400</v>
      </c>
      <c r="C117" s="21" t="s">
        <v>29</v>
      </c>
      <c r="D117" s="21" t="s">
        <v>401</v>
      </c>
      <c r="E117" s="210" t="s">
        <v>41</v>
      </c>
      <c r="F117" s="210"/>
      <c r="G117" s="23" t="s">
        <v>33</v>
      </c>
      <c r="H117" s="24">
        <v>4.8166000000000002</v>
      </c>
      <c r="I117" s="25">
        <v>0.91</v>
      </c>
      <c r="J117" s="25">
        <v>4.38</v>
      </c>
    </row>
    <row r="118" spans="1:10" ht="27" customHeight="1">
      <c r="A118" s="21" t="s">
        <v>40</v>
      </c>
      <c r="B118" s="22" t="s">
        <v>317</v>
      </c>
      <c r="C118" s="21" t="s">
        <v>29</v>
      </c>
      <c r="D118" s="21" t="s">
        <v>366</v>
      </c>
      <c r="E118" s="210" t="s">
        <v>41</v>
      </c>
      <c r="F118" s="210"/>
      <c r="G118" s="23" t="s">
        <v>318</v>
      </c>
      <c r="H118" s="24">
        <v>0.88290000000000002</v>
      </c>
      <c r="I118" s="25">
        <v>39.36</v>
      </c>
      <c r="J118" s="25">
        <v>34.75</v>
      </c>
    </row>
    <row r="119" spans="1:10" ht="27" customHeight="1">
      <c r="A119" s="21" t="s">
        <v>40</v>
      </c>
      <c r="B119" s="22" t="s">
        <v>402</v>
      </c>
      <c r="C119" s="21" t="s">
        <v>29</v>
      </c>
      <c r="D119" s="21" t="s">
        <v>719</v>
      </c>
      <c r="E119" s="210" t="s">
        <v>41</v>
      </c>
      <c r="F119" s="210"/>
      <c r="G119" s="23" t="s">
        <v>32</v>
      </c>
      <c r="H119" s="24">
        <v>6.8503999999999996</v>
      </c>
      <c r="I119" s="25">
        <v>18.28</v>
      </c>
      <c r="J119" s="25">
        <v>125.22</v>
      </c>
    </row>
    <row r="120" spans="1:10" ht="27" customHeight="1">
      <c r="A120" s="21" t="s">
        <v>40</v>
      </c>
      <c r="B120" s="22" t="s">
        <v>403</v>
      </c>
      <c r="C120" s="21" t="s">
        <v>29</v>
      </c>
      <c r="D120" s="21" t="s">
        <v>404</v>
      </c>
      <c r="E120" s="210" t="s">
        <v>41</v>
      </c>
      <c r="F120" s="210"/>
      <c r="G120" s="23" t="s">
        <v>33</v>
      </c>
      <c r="H120" s="24">
        <v>0.54730000000000001</v>
      </c>
      <c r="I120" s="25">
        <v>528.75</v>
      </c>
      <c r="J120" s="25">
        <v>289.38</v>
      </c>
    </row>
    <row r="121" spans="1:10" ht="27.6">
      <c r="A121" s="26"/>
      <c r="B121" s="26"/>
      <c r="C121" s="26"/>
      <c r="D121" s="26"/>
      <c r="E121" s="161" t="s">
        <v>42</v>
      </c>
      <c r="F121" s="162">
        <v>8.94</v>
      </c>
      <c r="G121" s="26" t="s">
        <v>43</v>
      </c>
      <c r="H121" s="27">
        <v>0</v>
      </c>
      <c r="I121" s="26" t="s">
        <v>44</v>
      </c>
      <c r="J121" s="27">
        <v>8.94</v>
      </c>
    </row>
    <row r="122" spans="1:10" ht="15" customHeight="1" thickBot="1">
      <c r="A122" s="159"/>
      <c r="B122" s="159"/>
      <c r="C122" s="159"/>
      <c r="D122" s="159"/>
      <c r="E122" s="163" t="s">
        <v>45</v>
      </c>
      <c r="F122" s="164">
        <v>134.52000000000001</v>
      </c>
      <c r="G122" s="159"/>
      <c r="H122" s="213" t="s">
        <v>46</v>
      </c>
      <c r="I122" s="213"/>
      <c r="J122" s="160">
        <v>601.29</v>
      </c>
    </row>
    <row r="123" spans="1:10" ht="18" customHeight="1" thickTop="1">
      <c r="A123" s="42" t="s">
        <v>607</v>
      </c>
      <c r="B123" s="43" t="s">
        <v>18</v>
      </c>
      <c r="C123" s="42" t="s">
        <v>19</v>
      </c>
      <c r="D123" s="42" t="s">
        <v>6</v>
      </c>
      <c r="E123" s="212" t="s">
        <v>37</v>
      </c>
      <c r="F123" s="212"/>
      <c r="G123" s="44" t="s">
        <v>20</v>
      </c>
      <c r="H123" s="43" t="s">
        <v>21</v>
      </c>
      <c r="I123" s="43" t="s">
        <v>22</v>
      </c>
      <c r="J123" s="43" t="s">
        <v>7</v>
      </c>
    </row>
    <row r="124" spans="1:10" ht="21" customHeight="1">
      <c r="A124" s="154" t="s">
        <v>38</v>
      </c>
      <c r="B124" s="155" t="s">
        <v>476</v>
      </c>
      <c r="C124" s="154" t="s">
        <v>66</v>
      </c>
      <c r="D124" s="154" t="s">
        <v>608</v>
      </c>
      <c r="E124" s="214" t="s">
        <v>720</v>
      </c>
      <c r="F124" s="214"/>
      <c r="G124" s="156" t="s">
        <v>27</v>
      </c>
      <c r="H124" s="157">
        <v>1</v>
      </c>
      <c r="I124" s="158">
        <v>318.86</v>
      </c>
      <c r="J124" s="158">
        <v>318.86</v>
      </c>
    </row>
    <row r="125" spans="1:10" ht="27" customHeight="1">
      <c r="A125" s="28" t="s">
        <v>47</v>
      </c>
      <c r="B125" s="29" t="s">
        <v>721</v>
      </c>
      <c r="C125" s="28" t="s">
        <v>66</v>
      </c>
      <c r="D125" s="28" t="s">
        <v>722</v>
      </c>
      <c r="E125" s="211" t="s">
        <v>720</v>
      </c>
      <c r="F125" s="211"/>
      <c r="G125" s="30" t="s">
        <v>31</v>
      </c>
      <c r="H125" s="31">
        <v>0.05</v>
      </c>
      <c r="I125" s="32">
        <v>500.21</v>
      </c>
      <c r="J125" s="32">
        <v>25.01</v>
      </c>
    </row>
    <row r="126" spans="1:10" ht="27" customHeight="1">
      <c r="A126" s="28" t="s">
        <v>47</v>
      </c>
      <c r="B126" s="29" t="s">
        <v>723</v>
      </c>
      <c r="C126" s="28" t="s">
        <v>66</v>
      </c>
      <c r="D126" s="28" t="s">
        <v>88</v>
      </c>
      <c r="E126" s="211" t="s">
        <v>720</v>
      </c>
      <c r="F126" s="211"/>
      <c r="G126" s="30" t="s">
        <v>51</v>
      </c>
      <c r="H126" s="31">
        <v>3</v>
      </c>
      <c r="I126" s="32">
        <v>19.579999999999998</v>
      </c>
      <c r="J126" s="32">
        <v>58.74</v>
      </c>
    </row>
    <row r="127" spans="1:10" ht="27" customHeight="1">
      <c r="A127" s="28" t="s">
        <v>47</v>
      </c>
      <c r="B127" s="29" t="s">
        <v>724</v>
      </c>
      <c r="C127" s="28" t="s">
        <v>66</v>
      </c>
      <c r="D127" s="28" t="s">
        <v>53</v>
      </c>
      <c r="E127" s="211" t="s">
        <v>720</v>
      </c>
      <c r="F127" s="211"/>
      <c r="G127" s="30" t="s">
        <v>51</v>
      </c>
      <c r="H127" s="31">
        <v>3</v>
      </c>
      <c r="I127" s="32">
        <v>24.36</v>
      </c>
      <c r="J127" s="32">
        <v>73.08</v>
      </c>
    </row>
    <row r="128" spans="1:10" ht="21" customHeight="1">
      <c r="A128" s="21" t="s">
        <v>40</v>
      </c>
      <c r="B128" s="22" t="s">
        <v>725</v>
      </c>
      <c r="C128" s="21" t="s">
        <v>66</v>
      </c>
      <c r="D128" s="21" t="s">
        <v>726</v>
      </c>
      <c r="E128" s="210" t="s">
        <v>41</v>
      </c>
      <c r="F128" s="210"/>
      <c r="G128" s="23" t="s">
        <v>27</v>
      </c>
      <c r="H128" s="24">
        <v>1</v>
      </c>
      <c r="I128" s="25">
        <v>162.03</v>
      </c>
      <c r="J128" s="25">
        <v>162.03</v>
      </c>
    </row>
    <row r="129" spans="1:10" ht="27.6">
      <c r="A129" s="26"/>
      <c r="B129" s="26"/>
      <c r="C129" s="26"/>
      <c r="D129" s="26"/>
      <c r="E129" s="161" t="s">
        <v>42</v>
      </c>
      <c r="F129" s="162">
        <v>92.64</v>
      </c>
      <c r="G129" s="26" t="s">
        <v>43</v>
      </c>
      <c r="H129" s="27">
        <v>0</v>
      </c>
      <c r="I129" s="26" t="s">
        <v>44</v>
      </c>
      <c r="J129" s="27">
        <v>92.64</v>
      </c>
    </row>
    <row r="130" spans="1:10" ht="15" customHeight="1" thickBot="1">
      <c r="A130" s="159"/>
      <c r="B130" s="159"/>
      <c r="C130" s="159"/>
      <c r="D130" s="159"/>
      <c r="E130" s="163" t="s">
        <v>45</v>
      </c>
      <c r="F130" s="164">
        <v>91.89</v>
      </c>
      <c r="G130" s="159"/>
      <c r="H130" s="213" t="s">
        <v>46</v>
      </c>
      <c r="I130" s="213"/>
      <c r="J130" s="160">
        <v>410.75</v>
      </c>
    </row>
    <row r="131" spans="1:10" ht="18" customHeight="1" thickTop="1">
      <c r="A131" s="42" t="s">
        <v>610</v>
      </c>
      <c r="B131" s="43" t="s">
        <v>18</v>
      </c>
      <c r="C131" s="42" t="s">
        <v>19</v>
      </c>
      <c r="D131" s="42" t="s">
        <v>6</v>
      </c>
      <c r="E131" s="212" t="s">
        <v>37</v>
      </c>
      <c r="F131" s="212"/>
      <c r="G131" s="44" t="s">
        <v>20</v>
      </c>
      <c r="H131" s="43" t="s">
        <v>21</v>
      </c>
      <c r="I131" s="43" t="s">
        <v>22</v>
      </c>
      <c r="J131" s="43" t="s">
        <v>7</v>
      </c>
    </row>
    <row r="132" spans="1:10" ht="27" customHeight="1">
      <c r="A132" s="154" t="s">
        <v>38</v>
      </c>
      <c r="B132" s="155" t="s">
        <v>360</v>
      </c>
      <c r="C132" s="154" t="s">
        <v>29</v>
      </c>
      <c r="D132" s="154" t="s">
        <v>361</v>
      </c>
      <c r="E132" s="214" t="s">
        <v>86</v>
      </c>
      <c r="F132" s="214"/>
      <c r="G132" s="156" t="s">
        <v>33</v>
      </c>
      <c r="H132" s="157">
        <v>1</v>
      </c>
      <c r="I132" s="158">
        <v>156.63</v>
      </c>
      <c r="J132" s="158">
        <v>156.63</v>
      </c>
    </row>
    <row r="133" spans="1:10" ht="27" customHeight="1">
      <c r="A133" s="28" t="s">
        <v>47</v>
      </c>
      <c r="B133" s="29" t="s">
        <v>48</v>
      </c>
      <c r="C133" s="28" t="s">
        <v>29</v>
      </c>
      <c r="D133" s="28" t="s">
        <v>49</v>
      </c>
      <c r="E133" s="211" t="s">
        <v>50</v>
      </c>
      <c r="F133" s="211"/>
      <c r="G133" s="30" t="s">
        <v>51</v>
      </c>
      <c r="H133" s="31">
        <v>0.501</v>
      </c>
      <c r="I133" s="32">
        <v>19.48</v>
      </c>
      <c r="J133" s="32">
        <v>9.75</v>
      </c>
    </row>
    <row r="134" spans="1:10" ht="27" customHeight="1">
      <c r="A134" s="28" t="s">
        <v>47</v>
      </c>
      <c r="B134" s="29" t="s">
        <v>254</v>
      </c>
      <c r="C134" s="28" t="s">
        <v>29</v>
      </c>
      <c r="D134" s="28" t="s">
        <v>255</v>
      </c>
      <c r="E134" s="211" t="s">
        <v>50</v>
      </c>
      <c r="F134" s="211"/>
      <c r="G134" s="30" t="s">
        <v>51</v>
      </c>
      <c r="H134" s="31">
        <v>1.002</v>
      </c>
      <c r="I134" s="32">
        <v>23.06</v>
      </c>
      <c r="J134" s="32">
        <v>23.1</v>
      </c>
    </row>
    <row r="135" spans="1:10" ht="39" customHeight="1">
      <c r="A135" s="21" t="s">
        <v>40</v>
      </c>
      <c r="B135" s="22" t="s">
        <v>727</v>
      </c>
      <c r="C135" s="21" t="s">
        <v>29</v>
      </c>
      <c r="D135" s="21" t="s">
        <v>728</v>
      </c>
      <c r="E135" s="210" t="s">
        <v>41</v>
      </c>
      <c r="F135" s="210"/>
      <c r="G135" s="23" t="s">
        <v>312</v>
      </c>
      <c r="H135" s="24">
        <v>1</v>
      </c>
      <c r="I135" s="25">
        <v>123.78</v>
      </c>
      <c r="J135" s="25">
        <v>123.78</v>
      </c>
    </row>
    <row r="136" spans="1:10" ht="27.6">
      <c r="A136" s="26"/>
      <c r="B136" s="26"/>
      <c r="C136" s="26"/>
      <c r="D136" s="26"/>
      <c r="E136" s="161" t="s">
        <v>42</v>
      </c>
      <c r="F136" s="162">
        <v>22.31</v>
      </c>
      <c r="G136" s="26" t="s">
        <v>43</v>
      </c>
      <c r="H136" s="27">
        <v>0</v>
      </c>
      <c r="I136" s="26" t="s">
        <v>44</v>
      </c>
      <c r="J136" s="27">
        <v>22.31</v>
      </c>
    </row>
    <row r="137" spans="1:10" ht="15" customHeight="1" thickBot="1">
      <c r="A137" s="159"/>
      <c r="B137" s="159"/>
      <c r="C137" s="159"/>
      <c r="D137" s="159"/>
      <c r="E137" s="163" t="s">
        <v>45</v>
      </c>
      <c r="F137" s="164">
        <v>45.14</v>
      </c>
      <c r="G137" s="159"/>
      <c r="H137" s="213" t="s">
        <v>46</v>
      </c>
      <c r="I137" s="213"/>
      <c r="J137" s="160">
        <v>201.76999999999998</v>
      </c>
    </row>
    <row r="138" spans="1:10" ht="18" customHeight="1" thickTop="1">
      <c r="A138" s="42" t="s">
        <v>611</v>
      </c>
      <c r="B138" s="43" t="s">
        <v>18</v>
      </c>
      <c r="C138" s="42" t="s">
        <v>19</v>
      </c>
      <c r="D138" s="42" t="s">
        <v>6</v>
      </c>
      <c r="E138" s="212" t="s">
        <v>37</v>
      </c>
      <c r="F138" s="212"/>
      <c r="G138" s="44" t="s">
        <v>20</v>
      </c>
      <c r="H138" s="43" t="s">
        <v>21</v>
      </c>
      <c r="I138" s="43" t="s">
        <v>22</v>
      </c>
      <c r="J138" s="43" t="s">
        <v>7</v>
      </c>
    </row>
    <row r="139" spans="1:10" ht="27" customHeight="1">
      <c r="A139" s="154" t="s">
        <v>38</v>
      </c>
      <c r="B139" s="155" t="s">
        <v>478</v>
      </c>
      <c r="C139" s="154" t="s">
        <v>29</v>
      </c>
      <c r="D139" s="154" t="s">
        <v>479</v>
      </c>
      <c r="E139" s="214" t="s">
        <v>86</v>
      </c>
      <c r="F139" s="214"/>
      <c r="G139" s="156" t="s">
        <v>33</v>
      </c>
      <c r="H139" s="157">
        <v>1</v>
      </c>
      <c r="I139" s="158">
        <v>137.32</v>
      </c>
      <c r="J139" s="158">
        <v>137.32</v>
      </c>
    </row>
    <row r="140" spans="1:10" ht="27" customHeight="1">
      <c r="A140" s="28" t="s">
        <v>47</v>
      </c>
      <c r="B140" s="29" t="s">
        <v>254</v>
      </c>
      <c r="C140" s="28" t="s">
        <v>29</v>
      </c>
      <c r="D140" s="28" t="s">
        <v>255</v>
      </c>
      <c r="E140" s="211" t="s">
        <v>50</v>
      </c>
      <c r="F140" s="211"/>
      <c r="G140" s="30" t="s">
        <v>51</v>
      </c>
      <c r="H140" s="31">
        <v>0.76700000000000002</v>
      </c>
      <c r="I140" s="32">
        <v>23.06</v>
      </c>
      <c r="J140" s="32">
        <v>17.68</v>
      </c>
    </row>
    <row r="141" spans="1:10" ht="27" customHeight="1">
      <c r="A141" s="28" t="s">
        <v>47</v>
      </c>
      <c r="B141" s="29" t="s">
        <v>48</v>
      </c>
      <c r="C141" s="28" t="s">
        <v>29</v>
      </c>
      <c r="D141" s="28" t="s">
        <v>49</v>
      </c>
      <c r="E141" s="211" t="s">
        <v>50</v>
      </c>
      <c r="F141" s="211"/>
      <c r="G141" s="30" t="s">
        <v>51</v>
      </c>
      <c r="H141" s="31">
        <v>0.38400000000000001</v>
      </c>
      <c r="I141" s="32">
        <v>19.48</v>
      </c>
      <c r="J141" s="32">
        <v>7.48</v>
      </c>
    </row>
    <row r="142" spans="1:10" ht="39" customHeight="1">
      <c r="A142" s="21" t="s">
        <v>40</v>
      </c>
      <c r="B142" s="22" t="s">
        <v>729</v>
      </c>
      <c r="C142" s="21" t="s">
        <v>29</v>
      </c>
      <c r="D142" s="21" t="s">
        <v>730</v>
      </c>
      <c r="E142" s="210" t="s">
        <v>41</v>
      </c>
      <c r="F142" s="210"/>
      <c r="G142" s="23" t="s">
        <v>312</v>
      </c>
      <c r="H142" s="24">
        <v>1</v>
      </c>
      <c r="I142" s="25">
        <v>112.16</v>
      </c>
      <c r="J142" s="25">
        <v>112.16</v>
      </c>
    </row>
    <row r="143" spans="1:10" ht="27.6">
      <c r="A143" s="26"/>
      <c r="B143" s="26"/>
      <c r="C143" s="26"/>
      <c r="D143" s="26"/>
      <c r="E143" s="161" t="s">
        <v>42</v>
      </c>
      <c r="F143" s="162">
        <v>17.079999999999998</v>
      </c>
      <c r="G143" s="26" t="s">
        <v>43</v>
      </c>
      <c r="H143" s="27">
        <v>0</v>
      </c>
      <c r="I143" s="26" t="s">
        <v>44</v>
      </c>
      <c r="J143" s="27">
        <v>17.079999999999998</v>
      </c>
    </row>
    <row r="144" spans="1:10" ht="15" customHeight="1" thickBot="1">
      <c r="A144" s="159"/>
      <c r="B144" s="159"/>
      <c r="C144" s="159"/>
      <c r="D144" s="159"/>
      <c r="E144" s="163" t="s">
        <v>45</v>
      </c>
      <c r="F144" s="164">
        <v>39.57</v>
      </c>
      <c r="G144" s="159"/>
      <c r="H144" s="213" t="s">
        <v>46</v>
      </c>
      <c r="I144" s="213"/>
      <c r="J144" s="160">
        <v>176.89</v>
      </c>
    </row>
    <row r="145" spans="1:10" ht="18" customHeight="1" thickTop="1">
      <c r="A145" s="42" t="s">
        <v>285</v>
      </c>
      <c r="B145" s="43" t="s">
        <v>18</v>
      </c>
      <c r="C145" s="42" t="s">
        <v>19</v>
      </c>
      <c r="D145" s="42" t="s">
        <v>6</v>
      </c>
      <c r="E145" s="212" t="s">
        <v>37</v>
      </c>
      <c r="F145" s="212"/>
      <c r="G145" s="44" t="s">
        <v>20</v>
      </c>
      <c r="H145" s="43" t="s">
        <v>21</v>
      </c>
      <c r="I145" s="43" t="s">
        <v>22</v>
      </c>
      <c r="J145" s="43" t="s">
        <v>7</v>
      </c>
    </row>
    <row r="146" spans="1:10" ht="39" customHeight="1">
      <c r="A146" s="154" t="s">
        <v>38</v>
      </c>
      <c r="B146" s="155" t="s">
        <v>482</v>
      </c>
      <c r="C146" s="154" t="s">
        <v>29</v>
      </c>
      <c r="D146" s="154" t="s">
        <v>483</v>
      </c>
      <c r="E146" s="214" t="s">
        <v>67</v>
      </c>
      <c r="F146" s="214"/>
      <c r="G146" s="156" t="s">
        <v>33</v>
      </c>
      <c r="H146" s="157">
        <v>1</v>
      </c>
      <c r="I146" s="158">
        <v>372.73</v>
      </c>
      <c r="J146" s="158">
        <v>372.73</v>
      </c>
    </row>
    <row r="147" spans="1:10" ht="27" customHeight="1">
      <c r="A147" s="28" t="s">
        <v>47</v>
      </c>
      <c r="B147" s="29" t="s">
        <v>70</v>
      </c>
      <c r="C147" s="28" t="s">
        <v>29</v>
      </c>
      <c r="D147" s="28" t="s">
        <v>71</v>
      </c>
      <c r="E147" s="211" t="s">
        <v>50</v>
      </c>
      <c r="F147" s="211"/>
      <c r="G147" s="30" t="s">
        <v>51</v>
      </c>
      <c r="H147" s="31">
        <v>0.48110000000000003</v>
      </c>
      <c r="I147" s="32">
        <v>20.29</v>
      </c>
      <c r="J147" s="32">
        <v>9.76</v>
      </c>
    </row>
    <row r="148" spans="1:10" ht="27" customHeight="1">
      <c r="A148" s="28" t="s">
        <v>47</v>
      </c>
      <c r="B148" s="29" t="s">
        <v>68</v>
      </c>
      <c r="C148" s="28" t="s">
        <v>29</v>
      </c>
      <c r="D148" s="28" t="s">
        <v>69</v>
      </c>
      <c r="E148" s="211" t="s">
        <v>50</v>
      </c>
      <c r="F148" s="211"/>
      <c r="G148" s="30" t="s">
        <v>51</v>
      </c>
      <c r="H148" s="31">
        <v>0.48110000000000003</v>
      </c>
      <c r="I148" s="32">
        <v>24.63</v>
      </c>
      <c r="J148" s="32">
        <v>11.84</v>
      </c>
    </row>
    <row r="149" spans="1:10" ht="39" customHeight="1">
      <c r="A149" s="28" t="s">
        <v>47</v>
      </c>
      <c r="B149" s="29" t="s">
        <v>429</v>
      </c>
      <c r="C149" s="28" t="s">
        <v>29</v>
      </c>
      <c r="D149" s="28" t="s">
        <v>430</v>
      </c>
      <c r="E149" s="211" t="s">
        <v>50</v>
      </c>
      <c r="F149" s="211"/>
      <c r="G149" s="30" t="s">
        <v>31</v>
      </c>
      <c r="H149" s="31">
        <v>1.17E-2</v>
      </c>
      <c r="I149" s="32">
        <v>856.79</v>
      </c>
      <c r="J149" s="32">
        <v>10.02</v>
      </c>
    </row>
    <row r="150" spans="1:10" ht="27" customHeight="1">
      <c r="A150" s="21" t="s">
        <v>40</v>
      </c>
      <c r="B150" s="22" t="s">
        <v>379</v>
      </c>
      <c r="C150" s="21" t="s">
        <v>29</v>
      </c>
      <c r="D150" s="21" t="s">
        <v>380</v>
      </c>
      <c r="E150" s="210" t="s">
        <v>41</v>
      </c>
      <c r="F150" s="210"/>
      <c r="G150" s="23" t="s">
        <v>33</v>
      </c>
      <c r="H150" s="24">
        <v>1</v>
      </c>
      <c r="I150" s="25">
        <v>341.11</v>
      </c>
      <c r="J150" s="25">
        <v>341.11</v>
      </c>
    </row>
    <row r="151" spans="1:10" ht="27.6">
      <c r="A151" s="26"/>
      <c r="B151" s="26"/>
      <c r="C151" s="26"/>
      <c r="D151" s="26"/>
      <c r="E151" s="161" t="s">
        <v>42</v>
      </c>
      <c r="F151" s="162">
        <v>16.32</v>
      </c>
      <c r="G151" s="26" t="s">
        <v>43</v>
      </c>
      <c r="H151" s="27">
        <v>0</v>
      </c>
      <c r="I151" s="26" t="s">
        <v>44</v>
      </c>
      <c r="J151" s="27">
        <v>16.32</v>
      </c>
    </row>
    <row r="152" spans="1:10" ht="15" customHeight="1" thickBot="1">
      <c r="A152" s="159"/>
      <c r="B152" s="159"/>
      <c r="C152" s="159"/>
      <c r="D152" s="159"/>
      <c r="E152" s="163" t="s">
        <v>45</v>
      </c>
      <c r="F152" s="164">
        <v>107.42</v>
      </c>
      <c r="G152" s="159"/>
      <c r="H152" s="213" t="s">
        <v>46</v>
      </c>
      <c r="I152" s="213"/>
      <c r="J152" s="160">
        <v>480.15000000000003</v>
      </c>
    </row>
    <row r="153" spans="1:10" ht="18" customHeight="1" thickTop="1">
      <c r="A153" s="42" t="s">
        <v>448</v>
      </c>
      <c r="B153" s="43" t="s">
        <v>18</v>
      </c>
      <c r="C153" s="42" t="s">
        <v>19</v>
      </c>
      <c r="D153" s="42" t="s">
        <v>6</v>
      </c>
      <c r="E153" s="212" t="s">
        <v>37</v>
      </c>
      <c r="F153" s="212"/>
      <c r="G153" s="44" t="s">
        <v>20</v>
      </c>
      <c r="H153" s="43" t="s">
        <v>21</v>
      </c>
      <c r="I153" s="43" t="s">
        <v>22</v>
      </c>
      <c r="J153" s="43" t="s">
        <v>7</v>
      </c>
    </row>
    <row r="154" spans="1:10" ht="39" customHeight="1">
      <c r="A154" s="154" t="s">
        <v>38</v>
      </c>
      <c r="B154" s="155" t="s">
        <v>485</v>
      </c>
      <c r="C154" s="154" t="s">
        <v>29</v>
      </c>
      <c r="D154" s="154" t="s">
        <v>486</v>
      </c>
      <c r="E154" s="214" t="s">
        <v>67</v>
      </c>
      <c r="F154" s="214"/>
      <c r="G154" s="156" t="s">
        <v>33</v>
      </c>
      <c r="H154" s="157">
        <v>1</v>
      </c>
      <c r="I154" s="158">
        <v>11.29</v>
      </c>
      <c r="J154" s="158">
        <v>11.29</v>
      </c>
    </row>
    <row r="155" spans="1:10" ht="27" customHeight="1">
      <c r="A155" s="28" t="s">
        <v>47</v>
      </c>
      <c r="B155" s="29" t="s">
        <v>68</v>
      </c>
      <c r="C155" s="28" t="s">
        <v>29</v>
      </c>
      <c r="D155" s="28" t="s">
        <v>69</v>
      </c>
      <c r="E155" s="211" t="s">
        <v>50</v>
      </c>
      <c r="F155" s="211"/>
      <c r="G155" s="30" t="s">
        <v>51</v>
      </c>
      <c r="H155" s="31">
        <v>3.5200000000000002E-2</v>
      </c>
      <c r="I155" s="32">
        <v>24.63</v>
      </c>
      <c r="J155" s="32">
        <v>0.86</v>
      </c>
    </row>
    <row r="156" spans="1:10" ht="27" customHeight="1">
      <c r="A156" s="28" t="s">
        <v>47</v>
      </c>
      <c r="B156" s="29" t="s">
        <v>70</v>
      </c>
      <c r="C156" s="28" t="s">
        <v>29</v>
      </c>
      <c r="D156" s="28" t="s">
        <v>71</v>
      </c>
      <c r="E156" s="211" t="s">
        <v>50</v>
      </c>
      <c r="F156" s="211"/>
      <c r="G156" s="30" t="s">
        <v>51</v>
      </c>
      <c r="H156" s="31">
        <v>3.5200000000000002E-2</v>
      </c>
      <c r="I156" s="32">
        <v>20.29</v>
      </c>
      <c r="J156" s="32">
        <v>0.71</v>
      </c>
    </row>
    <row r="157" spans="1:10" ht="21" customHeight="1">
      <c r="A157" s="21" t="s">
        <v>40</v>
      </c>
      <c r="B157" s="22" t="s">
        <v>731</v>
      </c>
      <c r="C157" s="21" t="s">
        <v>29</v>
      </c>
      <c r="D157" s="21" t="s">
        <v>732</v>
      </c>
      <c r="E157" s="210" t="s">
        <v>41</v>
      </c>
      <c r="F157" s="210"/>
      <c r="G157" s="23" t="s">
        <v>33</v>
      </c>
      <c r="H157" s="24">
        <v>1</v>
      </c>
      <c r="I157" s="25">
        <v>8.7899999999999991</v>
      </c>
      <c r="J157" s="25">
        <v>8.7899999999999991</v>
      </c>
    </row>
    <row r="158" spans="1:10" ht="27" customHeight="1">
      <c r="A158" s="21" t="s">
        <v>40</v>
      </c>
      <c r="B158" s="22" t="s">
        <v>733</v>
      </c>
      <c r="C158" s="21" t="s">
        <v>29</v>
      </c>
      <c r="D158" s="21" t="s">
        <v>734</v>
      </c>
      <c r="E158" s="210" t="s">
        <v>41</v>
      </c>
      <c r="F158" s="210"/>
      <c r="G158" s="23" t="s">
        <v>33</v>
      </c>
      <c r="H158" s="24">
        <v>1</v>
      </c>
      <c r="I158" s="25">
        <v>0.93</v>
      </c>
      <c r="J158" s="25">
        <v>0.93</v>
      </c>
    </row>
    <row r="159" spans="1:10" ht="27.6">
      <c r="A159" s="26"/>
      <c r="B159" s="26"/>
      <c r="C159" s="26"/>
      <c r="D159" s="26"/>
      <c r="E159" s="161" t="s">
        <v>42</v>
      </c>
      <c r="F159" s="162">
        <v>1.07</v>
      </c>
      <c r="G159" s="26" t="s">
        <v>43</v>
      </c>
      <c r="H159" s="27">
        <v>0</v>
      </c>
      <c r="I159" s="26" t="s">
        <v>44</v>
      </c>
      <c r="J159" s="27">
        <v>1.07</v>
      </c>
    </row>
    <row r="160" spans="1:10" ht="15" customHeight="1" thickBot="1">
      <c r="A160" s="159"/>
      <c r="B160" s="159"/>
      <c r="C160" s="159"/>
      <c r="D160" s="159"/>
      <c r="E160" s="163" t="s">
        <v>45</v>
      </c>
      <c r="F160" s="164">
        <v>3.25</v>
      </c>
      <c r="G160" s="159"/>
      <c r="H160" s="213" t="s">
        <v>46</v>
      </c>
      <c r="I160" s="213"/>
      <c r="J160" s="160">
        <v>14.54</v>
      </c>
    </row>
    <row r="161" spans="1:10" ht="18" customHeight="1" thickTop="1">
      <c r="A161" s="42" t="s">
        <v>451</v>
      </c>
      <c r="B161" s="43" t="s">
        <v>18</v>
      </c>
      <c r="C161" s="42" t="s">
        <v>19</v>
      </c>
      <c r="D161" s="42" t="s">
        <v>6</v>
      </c>
      <c r="E161" s="212" t="s">
        <v>37</v>
      </c>
      <c r="F161" s="212"/>
      <c r="G161" s="44" t="s">
        <v>20</v>
      </c>
      <c r="H161" s="43" t="s">
        <v>21</v>
      </c>
      <c r="I161" s="43" t="s">
        <v>22</v>
      </c>
      <c r="J161" s="43" t="s">
        <v>7</v>
      </c>
    </row>
    <row r="162" spans="1:10" ht="21" customHeight="1">
      <c r="A162" s="154" t="s">
        <v>38</v>
      </c>
      <c r="B162" s="155" t="s">
        <v>488</v>
      </c>
      <c r="C162" s="154" t="s">
        <v>26</v>
      </c>
      <c r="D162" s="154" t="s">
        <v>489</v>
      </c>
      <c r="E162" s="214" t="s">
        <v>66</v>
      </c>
      <c r="F162" s="214"/>
      <c r="G162" s="156" t="s">
        <v>33</v>
      </c>
      <c r="H162" s="157">
        <v>1</v>
      </c>
      <c r="I162" s="158">
        <v>163.35999999999999</v>
      </c>
      <c r="J162" s="158">
        <v>163.36000000000001</v>
      </c>
    </row>
    <row r="163" spans="1:10" ht="27" customHeight="1">
      <c r="A163" s="28" t="s">
        <v>47</v>
      </c>
      <c r="B163" s="29" t="s">
        <v>70</v>
      </c>
      <c r="C163" s="28" t="s">
        <v>29</v>
      </c>
      <c r="D163" s="28" t="s">
        <v>71</v>
      </c>
      <c r="E163" s="211" t="s">
        <v>50</v>
      </c>
      <c r="F163" s="211"/>
      <c r="G163" s="30" t="s">
        <v>51</v>
      </c>
      <c r="H163" s="31">
        <v>0.1</v>
      </c>
      <c r="I163" s="32">
        <v>20.29</v>
      </c>
      <c r="J163" s="32">
        <v>2.02</v>
      </c>
    </row>
    <row r="164" spans="1:10" ht="27" customHeight="1">
      <c r="A164" s="28" t="s">
        <v>47</v>
      </c>
      <c r="B164" s="29" t="s">
        <v>68</v>
      </c>
      <c r="C164" s="28" t="s">
        <v>29</v>
      </c>
      <c r="D164" s="28" t="s">
        <v>69</v>
      </c>
      <c r="E164" s="211" t="s">
        <v>50</v>
      </c>
      <c r="F164" s="211"/>
      <c r="G164" s="30" t="s">
        <v>51</v>
      </c>
      <c r="H164" s="31">
        <v>0.2</v>
      </c>
      <c r="I164" s="32">
        <v>24.63</v>
      </c>
      <c r="J164" s="32">
        <v>4.92</v>
      </c>
    </row>
    <row r="165" spans="1:10" ht="21" customHeight="1">
      <c r="A165" s="21" t="s">
        <v>40</v>
      </c>
      <c r="B165" s="22" t="s">
        <v>735</v>
      </c>
      <c r="C165" s="21" t="s">
        <v>26</v>
      </c>
      <c r="D165" s="21" t="s">
        <v>736</v>
      </c>
      <c r="E165" s="210" t="s">
        <v>237</v>
      </c>
      <c r="F165" s="210"/>
      <c r="G165" s="23" t="s">
        <v>33</v>
      </c>
      <c r="H165" s="24">
        <v>1</v>
      </c>
      <c r="I165" s="25">
        <v>156.41999999999999</v>
      </c>
      <c r="J165" s="25">
        <v>156.41999999999999</v>
      </c>
    </row>
    <row r="166" spans="1:10" ht="27.6">
      <c r="A166" s="26"/>
      <c r="B166" s="26"/>
      <c r="C166" s="26"/>
      <c r="D166" s="26"/>
      <c r="E166" s="161" t="s">
        <v>42</v>
      </c>
      <c r="F166" s="162">
        <v>4.79</v>
      </c>
      <c r="G166" s="26" t="s">
        <v>43</v>
      </c>
      <c r="H166" s="27">
        <v>0</v>
      </c>
      <c r="I166" s="26" t="s">
        <v>44</v>
      </c>
      <c r="J166" s="27">
        <v>4.79</v>
      </c>
    </row>
    <row r="167" spans="1:10" ht="15" customHeight="1" thickBot="1">
      <c r="A167" s="159"/>
      <c r="B167" s="159"/>
      <c r="C167" s="159"/>
      <c r="D167" s="159"/>
      <c r="E167" s="163" t="s">
        <v>45</v>
      </c>
      <c r="F167" s="164">
        <v>47.08</v>
      </c>
      <c r="G167" s="159"/>
      <c r="H167" s="213" t="s">
        <v>46</v>
      </c>
      <c r="I167" s="213"/>
      <c r="J167" s="160">
        <v>210.44</v>
      </c>
    </row>
    <row r="168" spans="1:10" ht="18" customHeight="1" thickTop="1">
      <c r="A168" s="42" t="s">
        <v>454</v>
      </c>
      <c r="B168" s="43" t="s">
        <v>18</v>
      </c>
      <c r="C168" s="42" t="s">
        <v>19</v>
      </c>
      <c r="D168" s="42" t="s">
        <v>6</v>
      </c>
      <c r="E168" s="212" t="s">
        <v>37</v>
      </c>
      <c r="F168" s="212"/>
      <c r="G168" s="44" t="s">
        <v>20</v>
      </c>
      <c r="H168" s="43" t="s">
        <v>21</v>
      </c>
      <c r="I168" s="43" t="s">
        <v>22</v>
      </c>
      <c r="J168" s="43" t="s">
        <v>7</v>
      </c>
    </row>
    <row r="169" spans="1:10" ht="21" customHeight="1">
      <c r="A169" s="154" t="s">
        <v>38</v>
      </c>
      <c r="B169" s="155" t="s">
        <v>506</v>
      </c>
      <c r="C169" s="154" t="s">
        <v>66</v>
      </c>
      <c r="D169" s="154" t="s">
        <v>612</v>
      </c>
      <c r="E169" s="214" t="s">
        <v>720</v>
      </c>
      <c r="F169" s="214"/>
      <c r="G169" s="156" t="s">
        <v>507</v>
      </c>
      <c r="H169" s="157">
        <v>1</v>
      </c>
      <c r="I169" s="158">
        <v>104.25000000000001</v>
      </c>
      <c r="J169" s="158">
        <v>104.25</v>
      </c>
    </row>
    <row r="170" spans="1:10" ht="27" customHeight="1">
      <c r="A170" s="28" t="s">
        <v>47</v>
      </c>
      <c r="B170" s="29" t="s">
        <v>737</v>
      </c>
      <c r="C170" s="28" t="s">
        <v>66</v>
      </c>
      <c r="D170" s="28" t="s">
        <v>71</v>
      </c>
      <c r="E170" s="211" t="s">
        <v>720</v>
      </c>
      <c r="F170" s="211"/>
      <c r="G170" s="30" t="s">
        <v>51</v>
      </c>
      <c r="H170" s="31">
        <v>2</v>
      </c>
      <c r="I170" s="32">
        <v>19.850000000000001</v>
      </c>
      <c r="J170" s="32">
        <v>39.700000000000003</v>
      </c>
    </row>
    <row r="171" spans="1:10" ht="27" customHeight="1">
      <c r="A171" s="28" t="s">
        <v>47</v>
      </c>
      <c r="B171" s="29" t="s">
        <v>738</v>
      </c>
      <c r="C171" s="28" t="s">
        <v>66</v>
      </c>
      <c r="D171" s="28" t="s">
        <v>69</v>
      </c>
      <c r="E171" s="211" t="s">
        <v>720</v>
      </c>
      <c r="F171" s="211"/>
      <c r="G171" s="30" t="s">
        <v>51</v>
      </c>
      <c r="H171" s="31">
        <v>2</v>
      </c>
      <c r="I171" s="32">
        <v>24.63</v>
      </c>
      <c r="J171" s="32">
        <v>49.26</v>
      </c>
    </row>
    <row r="172" spans="1:10" ht="21" customHeight="1">
      <c r="A172" s="21" t="s">
        <v>40</v>
      </c>
      <c r="B172" s="22" t="s">
        <v>739</v>
      </c>
      <c r="C172" s="21" t="s">
        <v>66</v>
      </c>
      <c r="D172" s="21" t="s">
        <v>740</v>
      </c>
      <c r="E172" s="210" t="s">
        <v>41</v>
      </c>
      <c r="F172" s="210"/>
      <c r="G172" s="23" t="s">
        <v>32</v>
      </c>
      <c r="H172" s="24">
        <v>1.2</v>
      </c>
      <c r="I172" s="25">
        <v>3.9</v>
      </c>
      <c r="J172" s="25">
        <v>4.68</v>
      </c>
    </row>
    <row r="173" spans="1:10" ht="21" customHeight="1">
      <c r="A173" s="21" t="s">
        <v>40</v>
      </c>
      <c r="B173" s="22" t="s">
        <v>741</v>
      </c>
      <c r="C173" s="21" t="s">
        <v>66</v>
      </c>
      <c r="D173" s="21" t="s">
        <v>742</v>
      </c>
      <c r="E173" s="210" t="s">
        <v>41</v>
      </c>
      <c r="F173" s="210"/>
      <c r="G173" s="23" t="s">
        <v>33</v>
      </c>
      <c r="H173" s="24">
        <v>0.4</v>
      </c>
      <c r="I173" s="25">
        <v>2.17</v>
      </c>
      <c r="J173" s="25">
        <v>0.86</v>
      </c>
    </row>
    <row r="174" spans="1:10" ht="21" customHeight="1">
      <c r="A174" s="21" t="s">
        <v>40</v>
      </c>
      <c r="B174" s="22" t="s">
        <v>743</v>
      </c>
      <c r="C174" s="21" t="s">
        <v>66</v>
      </c>
      <c r="D174" s="21" t="s">
        <v>744</v>
      </c>
      <c r="E174" s="210" t="s">
        <v>41</v>
      </c>
      <c r="F174" s="210"/>
      <c r="G174" s="23" t="s">
        <v>32</v>
      </c>
      <c r="H174" s="24">
        <v>3.6</v>
      </c>
      <c r="I174" s="25">
        <v>2.19</v>
      </c>
      <c r="J174" s="25">
        <v>7.88</v>
      </c>
    </row>
    <row r="175" spans="1:10" ht="21" customHeight="1">
      <c r="A175" s="21" t="s">
        <v>40</v>
      </c>
      <c r="B175" s="22" t="s">
        <v>745</v>
      </c>
      <c r="C175" s="21" t="s">
        <v>66</v>
      </c>
      <c r="D175" s="21" t="s">
        <v>746</v>
      </c>
      <c r="E175" s="210" t="s">
        <v>41</v>
      </c>
      <c r="F175" s="210"/>
      <c r="G175" s="23" t="s">
        <v>33</v>
      </c>
      <c r="H175" s="24">
        <v>0.8</v>
      </c>
      <c r="I175" s="25">
        <v>0.86</v>
      </c>
      <c r="J175" s="25">
        <v>0.68</v>
      </c>
    </row>
    <row r="176" spans="1:10" ht="21" customHeight="1">
      <c r="A176" s="21" t="s">
        <v>40</v>
      </c>
      <c r="B176" s="22" t="s">
        <v>747</v>
      </c>
      <c r="C176" s="21" t="s">
        <v>66</v>
      </c>
      <c r="D176" s="21" t="s">
        <v>748</v>
      </c>
      <c r="E176" s="210" t="s">
        <v>41</v>
      </c>
      <c r="F176" s="210"/>
      <c r="G176" s="23" t="s">
        <v>32</v>
      </c>
      <c r="H176" s="24">
        <v>0.4</v>
      </c>
      <c r="I176" s="25">
        <v>1.79</v>
      </c>
      <c r="J176" s="25">
        <v>0.71</v>
      </c>
    </row>
    <row r="177" spans="1:10" ht="21" customHeight="1">
      <c r="A177" s="21" t="s">
        <v>40</v>
      </c>
      <c r="B177" s="22" t="s">
        <v>749</v>
      </c>
      <c r="C177" s="21" t="s">
        <v>66</v>
      </c>
      <c r="D177" s="21" t="s">
        <v>750</v>
      </c>
      <c r="E177" s="210" t="s">
        <v>41</v>
      </c>
      <c r="F177" s="210"/>
      <c r="G177" s="23" t="s">
        <v>33</v>
      </c>
      <c r="H177" s="24">
        <v>0.8</v>
      </c>
      <c r="I177" s="25">
        <v>0.61</v>
      </c>
      <c r="J177" s="25">
        <v>0.48</v>
      </c>
    </row>
    <row r="178" spans="1:10" ht="27.6">
      <c r="A178" s="26"/>
      <c r="B178" s="26"/>
      <c r="C178" s="26"/>
      <c r="D178" s="26"/>
      <c r="E178" s="161" t="s">
        <v>42</v>
      </c>
      <c r="F178" s="162">
        <v>60.24</v>
      </c>
      <c r="G178" s="26" t="s">
        <v>43</v>
      </c>
      <c r="H178" s="27">
        <v>0</v>
      </c>
      <c r="I178" s="26" t="s">
        <v>44</v>
      </c>
      <c r="J178" s="27">
        <v>60.24</v>
      </c>
    </row>
    <row r="179" spans="1:10" ht="15" customHeight="1" thickBot="1">
      <c r="A179" s="159"/>
      <c r="B179" s="159"/>
      <c r="C179" s="159"/>
      <c r="D179" s="159"/>
      <c r="E179" s="163" t="s">
        <v>45</v>
      </c>
      <c r="F179" s="164">
        <v>30.04</v>
      </c>
      <c r="G179" s="159"/>
      <c r="H179" s="213" t="s">
        <v>46</v>
      </c>
      <c r="I179" s="213"/>
      <c r="J179" s="160">
        <v>134.29</v>
      </c>
    </row>
    <row r="180" spans="1:10" ht="18" customHeight="1" thickTop="1">
      <c r="A180" s="42" t="s">
        <v>287</v>
      </c>
      <c r="B180" s="43" t="s">
        <v>18</v>
      </c>
      <c r="C180" s="42" t="s">
        <v>19</v>
      </c>
      <c r="D180" s="42" t="s">
        <v>6</v>
      </c>
      <c r="E180" s="212" t="s">
        <v>37</v>
      </c>
      <c r="F180" s="212"/>
      <c r="G180" s="44" t="s">
        <v>20</v>
      </c>
      <c r="H180" s="43" t="s">
        <v>21</v>
      </c>
      <c r="I180" s="43" t="s">
        <v>22</v>
      </c>
      <c r="J180" s="43" t="s">
        <v>7</v>
      </c>
    </row>
    <row r="181" spans="1:10" ht="39" customHeight="1">
      <c r="A181" s="154" t="s">
        <v>38</v>
      </c>
      <c r="B181" s="155" t="s">
        <v>311</v>
      </c>
      <c r="C181" s="154" t="s">
        <v>29</v>
      </c>
      <c r="D181" s="154" t="s">
        <v>492</v>
      </c>
      <c r="E181" s="214" t="s">
        <v>67</v>
      </c>
      <c r="F181" s="214"/>
      <c r="G181" s="156" t="s">
        <v>33</v>
      </c>
      <c r="H181" s="157">
        <v>1</v>
      </c>
      <c r="I181" s="158">
        <v>78.03</v>
      </c>
      <c r="J181" s="158">
        <v>78.03</v>
      </c>
    </row>
    <row r="182" spans="1:10" ht="27" customHeight="1">
      <c r="A182" s="28" t="s">
        <v>47</v>
      </c>
      <c r="B182" s="29" t="s">
        <v>68</v>
      </c>
      <c r="C182" s="28" t="s">
        <v>29</v>
      </c>
      <c r="D182" s="28" t="s">
        <v>69</v>
      </c>
      <c r="E182" s="211" t="s">
        <v>50</v>
      </c>
      <c r="F182" s="211"/>
      <c r="G182" s="30" t="s">
        <v>51</v>
      </c>
      <c r="H182" s="31">
        <v>0.24840000000000001</v>
      </c>
      <c r="I182" s="32">
        <v>24.63</v>
      </c>
      <c r="J182" s="32">
        <v>6.11</v>
      </c>
    </row>
    <row r="183" spans="1:10" ht="27" customHeight="1">
      <c r="A183" s="28" t="s">
        <v>47</v>
      </c>
      <c r="B183" s="29" t="s">
        <v>70</v>
      </c>
      <c r="C183" s="28" t="s">
        <v>29</v>
      </c>
      <c r="D183" s="28" t="s">
        <v>71</v>
      </c>
      <c r="E183" s="211" t="s">
        <v>50</v>
      </c>
      <c r="F183" s="211"/>
      <c r="G183" s="30" t="s">
        <v>51</v>
      </c>
      <c r="H183" s="31">
        <v>0.24840000000000001</v>
      </c>
      <c r="I183" s="32">
        <v>20.29</v>
      </c>
      <c r="J183" s="32">
        <v>5.04</v>
      </c>
    </row>
    <row r="184" spans="1:10" ht="27" customHeight="1">
      <c r="A184" s="21" t="s">
        <v>40</v>
      </c>
      <c r="B184" s="22" t="s">
        <v>339</v>
      </c>
      <c r="C184" s="21" t="s">
        <v>29</v>
      </c>
      <c r="D184" s="21" t="s">
        <v>751</v>
      </c>
      <c r="E184" s="210" t="s">
        <v>41</v>
      </c>
      <c r="F184" s="210"/>
      <c r="G184" s="23" t="s">
        <v>33</v>
      </c>
      <c r="H184" s="24">
        <v>1</v>
      </c>
      <c r="I184" s="25">
        <v>66.88</v>
      </c>
      <c r="J184" s="25">
        <v>66.88</v>
      </c>
    </row>
    <row r="185" spans="1:10" ht="27.6">
      <c r="A185" s="26"/>
      <c r="B185" s="26"/>
      <c r="C185" s="26"/>
      <c r="D185" s="26"/>
      <c r="E185" s="161" t="s">
        <v>42</v>
      </c>
      <c r="F185" s="162">
        <v>7.58</v>
      </c>
      <c r="G185" s="26" t="s">
        <v>43</v>
      </c>
      <c r="H185" s="27">
        <v>0</v>
      </c>
      <c r="I185" s="26" t="s">
        <v>44</v>
      </c>
      <c r="J185" s="27">
        <v>7.58</v>
      </c>
    </row>
    <row r="186" spans="1:10" ht="15" customHeight="1" thickBot="1">
      <c r="A186" s="159"/>
      <c r="B186" s="159"/>
      <c r="C186" s="159"/>
      <c r="D186" s="159"/>
      <c r="E186" s="163" t="s">
        <v>45</v>
      </c>
      <c r="F186" s="164">
        <v>22.48</v>
      </c>
      <c r="G186" s="159"/>
      <c r="H186" s="213" t="s">
        <v>46</v>
      </c>
      <c r="I186" s="213"/>
      <c r="J186" s="160">
        <v>100.51</v>
      </c>
    </row>
    <row r="187" spans="1:10" ht="18" customHeight="1" thickTop="1">
      <c r="A187" s="42" t="s">
        <v>457</v>
      </c>
      <c r="B187" s="43" t="s">
        <v>18</v>
      </c>
      <c r="C187" s="42" t="s">
        <v>19</v>
      </c>
      <c r="D187" s="42" t="s">
        <v>6</v>
      </c>
      <c r="E187" s="212" t="s">
        <v>37</v>
      </c>
      <c r="F187" s="212"/>
      <c r="G187" s="44" t="s">
        <v>20</v>
      </c>
      <c r="H187" s="43" t="s">
        <v>21</v>
      </c>
      <c r="I187" s="43" t="s">
        <v>22</v>
      </c>
      <c r="J187" s="43" t="s">
        <v>7</v>
      </c>
    </row>
    <row r="188" spans="1:10" ht="39" customHeight="1">
      <c r="A188" s="154" t="s">
        <v>38</v>
      </c>
      <c r="B188" s="155" t="s">
        <v>494</v>
      </c>
      <c r="C188" s="154" t="s">
        <v>29</v>
      </c>
      <c r="D188" s="154" t="s">
        <v>495</v>
      </c>
      <c r="E188" s="214" t="s">
        <v>67</v>
      </c>
      <c r="F188" s="214"/>
      <c r="G188" s="156" t="s">
        <v>32</v>
      </c>
      <c r="H188" s="157">
        <v>1</v>
      </c>
      <c r="I188" s="158">
        <v>17.47</v>
      </c>
      <c r="J188" s="158">
        <v>17.47</v>
      </c>
    </row>
    <row r="189" spans="1:10" ht="39" customHeight="1">
      <c r="A189" s="28" t="s">
        <v>47</v>
      </c>
      <c r="B189" s="29" t="s">
        <v>315</v>
      </c>
      <c r="C189" s="28" t="s">
        <v>29</v>
      </c>
      <c r="D189" s="28" t="s">
        <v>752</v>
      </c>
      <c r="E189" s="211" t="s">
        <v>98</v>
      </c>
      <c r="F189" s="211"/>
      <c r="G189" s="30" t="s">
        <v>32</v>
      </c>
      <c r="H189" s="31">
        <v>1</v>
      </c>
      <c r="I189" s="32">
        <v>9.01</v>
      </c>
      <c r="J189" s="32">
        <v>9.01</v>
      </c>
    </row>
    <row r="190" spans="1:10" ht="27" customHeight="1">
      <c r="A190" s="28" t="s">
        <v>47</v>
      </c>
      <c r="B190" s="29" t="s">
        <v>70</v>
      </c>
      <c r="C190" s="28" t="s">
        <v>29</v>
      </c>
      <c r="D190" s="28" t="s">
        <v>71</v>
      </c>
      <c r="E190" s="211" t="s">
        <v>50</v>
      </c>
      <c r="F190" s="211"/>
      <c r="G190" s="30" t="s">
        <v>51</v>
      </c>
      <c r="H190" s="31">
        <v>0.122</v>
      </c>
      <c r="I190" s="32">
        <v>20.29</v>
      </c>
      <c r="J190" s="32">
        <v>2.4700000000000002</v>
      </c>
    </row>
    <row r="191" spans="1:10" ht="27" customHeight="1">
      <c r="A191" s="28" t="s">
        <v>47</v>
      </c>
      <c r="B191" s="29" t="s">
        <v>68</v>
      </c>
      <c r="C191" s="28" t="s">
        <v>29</v>
      </c>
      <c r="D191" s="28" t="s">
        <v>69</v>
      </c>
      <c r="E191" s="211" t="s">
        <v>50</v>
      </c>
      <c r="F191" s="211"/>
      <c r="G191" s="30" t="s">
        <v>51</v>
      </c>
      <c r="H191" s="31">
        <v>0.122</v>
      </c>
      <c r="I191" s="32">
        <v>24.63</v>
      </c>
      <c r="J191" s="32">
        <v>3</v>
      </c>
    </row>
    <row r="192" spans="1:10" ht="21" customHeight="1">
      <c r="A192" s="21" t="s">
        <v>40</v>
      </c>
      <c r="B192" s="22" t="s">
        <v>753</v>
      </c>
      <c r="C192" s="21" t="s">
        <v>29</v>
      </c>
      <c r="D192" s="21" t="s">
        <v>754</v>
      </c>
      <c r="E192" s="210" t="s">
        <v>41</v>
      </c>
      <c r="F192" s="210"/>
      <c r="G192" s="23" t="s">
        <v>32</v>
      </c>
      <c r="H192" s="24">
        <v>1.0538000000000001</v>
      </c>
      <c r="I192" s="25">
        <v>2.84</v>
      </c>
      <c r="J192" s="25">
        <v>2.99</v>
      </c>
    </row>
    <row r="193" spans="1:10" ht="27.6">
      <c r="A193" s="26"/>
      <c r="B193" s="26"/>
      <c r="C193" s="26"/>
      <c r="D193" s="26"/>
      <c r="E193" s="161" t="s">
        <v>42</v>
      </c>
      <c r="F193" s="162">
        <v>7.95</v>
      </c>
      <c r="G193" s="26" t="s">
        <v>43</v>
      </c>
      <c r="H193" s="27">
        <v>0</v>
      </c>
      <c r="I193" s="26" t="s">
        <v>44</v>
      </c>
      <c r="J193" s="27">
        <v>7.95</v>
      </c>
    </row>
    <row r="194" spans="1:10" ht="15" customHeight="1" thickBot="1">
      <c r="A194" s="159"/>
      <c r="B194" s="159"/>
      <c r="C194" s="159"/>
      <c r="D194" s="159"/>
      <c r="E194" s="163" t="s">
        <v>45</v>
      </c>
      <c r="F194" s="164">
        <v>5.03</v>
      </c>
      <c r="G194" s="159"/>
      <c r="H194" s="213" t="s">
        <v>46</v>
      </c>
      <c r="I194" s="213"/>
      <c r="J194" s="160">
        <v>22.5</v>
      </c>
    </row>
    <row r="195" spans="1:10" ht="18" customHeight="1" thickTop="1">
      <c r="A195" s="42" t="s">
        <v>458</v>
      </c>
      <c r="B195" s="43" t="s">
        <v>18</v>
      </c>
      <c r="C195" s="42" t="s">
        <v>19</v>
      </c>
      <c r="D195" s="42" t="s">
        <v>6</v>
      </c>
      <c r="E195" s="212" t="s">
        <v>37</v>
      </c>
      <c r="F195" s="212"/>
      <c r="G195" s="44" t="s">
        <v>20</v>
      </c>
      <c r="H195" s="43" t="s">
        <v>21</v>
      </c>
      <c r="I195" s="43" t="s">
        <v>22</v>
      </c>
      <c r="J195" s="43" t="s">
        <v>7</v>
      </c>
    </row>
    <row r="196" spans="1:10" ht="27" customHeight="1">
      <c r="A196" s="154" t="s">
        <v>38</v>
      </c>
      <c r="B196" s="155" t="s">
        <v>350</v>
      </c>
      <c r="C196" s="154" t="s">
        <v>29</v>
      </c>
      <c r="D196" s="154" t="s">
        <v>497</v>
      </c>
      <c r="E196" s="214" t="s">
        <v>98</v>
      </c>
      <c r="F196" s="214"/>
      <c r="G196" s="156" t="s">
        <v>33</v>
      </c>
      <c r="H196" s="157">
        <v>1</v>
      </c>
      <c r="I196" s="158">
        <v>58.900000000000006</v>
      </c>
      <c r="J196" s="158">
        <v>58.9</v>
      </c>
    </row>
    <row r="197" spans="1:10" ht="27" customHeight="1">
      <c r="A197" s="28" t="s">
        <v>47</v>
      </c>
      <c r="B197" s="29" t="s">
        <v>48</v>
      </c>
      <c r="C197" s="28" t="s">
        <v>29</v>
      </c>
      <c r="D197" s="28" t="s">
        <v>49</v>
      </c>
      <c r="E197" s="211" t="s">
        <v>50</v>
      </c>
      <c r="F197" s="211"/>
      <c r="G197" s="30" t="s">
        <v>51</v>
      </c>
      <c r="H197" s="31">
        <v>0.10879999999999999</v>
      </c>
      <c r="I197" s="32">
        <v>19.48</v>
      </c>
      <c r="J197" s="32">
        <v>2.11</v>
      </c>
    </row>
    <row r="198" spans="1:10" ht="27" customHeight="1">
      <c r="A198" s="28" t="s">
        <v>47</v>
      </c>
      <c r="B198" s="29" t="s">
        <v>52</v>
      </c>
      <c r="C198" s="28" t="s">
        <v>29</v>
      </c>
      <c r="D198" s="28" t="s">
        <v>53</v>
      </c>
      <c r="E198" s="211" t="s">
        <v>50</v>
      </c>
      <c r="F198" s="211"/>
      <c r="G198" s="30" t="s">
        <v>51</v>
      </c>
      <c r="H198" s="31">
        <v>0.1384</v>
      </c>
      <c r="I198" s="32">
        <v>24.36</v>
      </c>
      <c r="J198" s="32">
        <v>3.37</v>
      </c>
    </row>
    <row r="199" spans="1:10" ht="27" customHeight="1">
      <c r="A199" s="28" t="s">
        <v>47</v>
      </c>
      <c r="B199" s="29" t="s">
        <v>381</v>
      </c>
      <c r="C199" s="28" t="s">
        <v>29</v>
      </c>
      <c r="D199" s="28" t="s">
        <v>382</v>
      </c>
      <c r="E199" s="211" t="s">
        <v>72</v>
      </c>
      <c r="F199" s="211"/>
      <c r="G199" s="30" t="s">
        <v>31</v>
      </c>
      <c r="H199" s="31">
        <v>1.41E-2</v>
      </c>
      <c r="I199" s="32">
        <v>218.48</v>
      </c>
      <c r="J199" s="32">
        <v>3.08</v>
      </c>
    </row>
    <row r="200" spans="1:10" ht="27" customHeight="1">
      <c r="A200" s="21" t="s">
        <v>40</v>
      </c>
      <c r="B200" s="22" t="s">
        <v>383</v>
      </c>
      <c r="C200" s="21" t="s">
        <v>29</v>
      </c>
      <c r="D200" s="21" t="s">
        <v>755</v>
      </c>
      <c r="E200" s="210" t="s">
        <v>41</v>
      </c>
      <c r="F200" s="210"/>
      <c r="G200" s="23" t="s">
        <v>33</v>
      </c>
      <c r="H200" s="24">
        <v>1</v>
      </c>
      <c r="I200" s="25">
        <v>50.34</v>
      </c>
      <c r="J200" s="25">
        <v>50.34</v>
      </c>
    </row>
    <row r="201" spans="1:10" ht="27.6">
      <c r="A201" s="26"/>
      <c r="B201" s="26"/>
      <c r="C201" s="26"/>
      <c r="D201" s="26"/>
      <c r="E201" s="161" t="s">
        <v>42</v>
      </c>
      <c r="F201" s="162">
        <v>4.7699999999999996</v>
      </c>
      <c r="G201" s="26" t="s">
        <v>43</v>
      </c>
      <c r="H201" s="27">
        <v>0</v>
      </c>
      <c r="I201" s="26" t="s">
        <v>44</v>
      </c>
      <c r="J201" s="27">
        <v>4.7699999999999996</v>
      </c>
    </row>
    <row r="202" spans="1:10" ht="15" customHeight="1" thickBot="1">
      <c r="A202" s="159"/>
      <c r="B202" s="159"/>
      <c r="C202" s="159"/>
      <c r="D202" s="159"/>
      <c r="E202" s="163" t="s">
        <v>45</v>
      </c>
      <c r="F202" s="164">
        <v>16.97</v>
      </c>
      <c r="G202" s="159"/>
      <c r="H202" s="213" t="s">
        <v>46</v>
      </c>
      <c r="I202" s="213"/>
      <c r="J202" s="160">
        <v>75.87</v>
      </c>
    </row>
    <row r="203" spans="1:10" ht="18" customHeight="1" thickTop="1">
      <c r="A203" s="42" t="s">
        <v>459</v>
      </c>
      <c r="B203" s="43" t="s">
        <v>18</v>
      </c>
      <c r="C203" s="42" t="s">
        <v>19</v>
      </c>
      <c r="D203" s="42" t="s">
        <v>6</v>
      </c>
      <c r="E203" s="212" t="s">
        <v>37</v>
      </c>
      <c r="F203" s="212"/>
      <c r="G203" s="44" t="s">
        <v>20</v>
      </c>
      <c r="H203" s="43" t="s">
        <v>21</v>
      </c>
      <c r="I203" s="43" t="s">
        <v>22</v>
      </c>
      <c r="J203" s="43" t="s">
        <v>7</v>
      </c>
    </row>
    <row r="204" spans="1:10" ht="39" customHeight="1">
      <c r="A204" s="154" t="s">
        <v>38</v>
      </c>
      <c r="B204" s="155" t="s">
        <v>499</v>
      </c>
      <c r="C204" s="154" t="s">
        <v>29</v>
      </c>
      <c r="D204" s="154" t="s">
        <v>500</v>
      </c>
      <c r="E204" s="214" t="s">
        <v>67</v>
      </c>
      <c r="F204" s="214"/>
      <c r="G204" s="156" t="s">
        <v>32</v>
      </c>
      <c r="H204" s="157">
        <v>1</v>
      </c>
      <c r="I204" s="158">
        <v>35.269999999999996</v>
      </c>
      <c r="J204" s="158">
        <v>35.270000000000003</v>
      </c>
    </row>
    <row r="205" spans="1:10" ht="27" customHeight="1">
      <c r="A205" s="28" t="s">
        <v>47</v>
      </c>
      <c r="B205" s="29" t="s">
        <v>70</v>
      </c>
      <c r="C205" s="28" t="s">
        <v>29</v>
      </c>
      <c r="D205" s="28" t="s">
        <v>71</v>
      </c>
      <c r="E205" s="211" t="s">
        <v>50</v>
      </c>
      <c r="F205" s="211"/>
      <c r="G205" s="30" t="s">
        <v>51</v>
      </c>
      <c r="H205" s="31">
        <v>9.5699999999999993E-2</v>
      </c>
      <c r="I205" s="32">
        <v>20.29</v>
      </c>
      <c r="J205" s="32">
        <v>1.94</v>
      </c>
    </row>
    <row r="206" spans="1:10" ht="27" customHeight="1">
      <c r="A206" s="28" t="s">
        <v>47</v>
      </c>
      <c r="B206" s="29" t="s">
        <v>68</v>
      </c>
      <c r="C206" s="28" t="s">
        <v>29</v>
      </c>
      <c r="D206" s="28" t="s">
        <v>69</v>
      </c>
      <c r="E206" s="211" t="s">
        <v>50</v>
      </c>
      <c r="F206" s="211"/>
      <c r="G206" s="30" t="s">
        <v>51</v>
      </c>
      <c r="H206" s="31">
        <v>9.5699999999999993E-2</v>
      </c>
      <c r="I206" s="32">
        <v>24.63</v>
      </c>
      <c r="J206" s="32">
        <v>2.35</v>
      </c>
    </row>
    <row r="207" spans="1:10" ht="27" customHeight="1">
      <c r="A207" s="28" t="s">
        <v>47</v>
      </c>
      <c r="B207" s="29" t="s">
        <v>340</v>
      </c>
      <c r="C207" s="28" t="s">
        <v>29</v>
      </c>
      <c r="D207" s="28" t="s">
        <v>756</v>
      </c>
      <c r="E207" s="211" t="s">
        <v>67</v>
      </c>
      <c r="F207" s="211"/>
      <c r="G207" s="30" t="s">
        <v>33</v>
      </c>
      <c r="H207" s="31">
        <v>0.5</v>
      </c>
      <c r="I207" s="32">
        <v>24.64</v>
      </c>
      <c r="J207" s="32">
        <v>12.32</v>
      </c>
    </row>
    <row r="208" spans="1:10" ht="21" customHeight="1">
      <c r="A208" s="21" t="s">
        <v>40</v>
      </c>
      <c r="B208" s="22" t="s">
        <v>757</v>
      </c>
      <c r="C208" s="21" t="s">
        <v>29</v>
      </c>
      <c r="D208" s="21" t="s">
        <v>758</v>
      </c>
      <c r="E208" s="210" t="s">
        <v>41</v>
      </c>
      <c r="F208" s="210"/>
      <c r="G208" s="23" t="s">
        <v>32</v>
      </c>
      <c r="H208" s="24">
        <v>1.05</v>
      </c>
      <c r="I208" s="25">
        <v>17.78</v>
      </c>
      <c r="J208" s="25">
        <v>18.66</v>
      </c>
    </row>
    <row r="209" spans="1:10" ht="27.6">
      <c r="A209" s="26"/>
      <c r="B209" s="26"/>
      <c r="C209" s="26"/>
      <c r="D209" s="26"/>
      <c r="E209" s="161" t="s">
        <v>42</v>
      </c>
      <c r="F209" s="162">
        <v>7.66</v>
      </c>
      <c r="G209" s="26" t="s">
        <v>43</v>
      </c>
      <c r="H209" s="27">
        <v>0</v>
      </c>
      <c r="I209" s="26" t="s">
        <v>44</v>
      </c>
      <c r="J209" s="27">
        <v>7.66</v>
      </c>
    </row>
    <row r="210" spans="1:10" ht="15" customHeight="1" thickBot="1">
      <c r="A210" s="159"/>
      <c r="B210" s="159"/>
      <c r="C210" s="159"/>
      <c r="D210" s="159"/>
      <c r="E210" s="163" t="s">
        <v>45</v>
      </c>
      <c r="F210" s="164">
        <v>10.16</v>
      </c>
      <c r="G210" s="159"/>
      <c r="H210" s="213" t="s">
        <v>46</v>
      </c>
      <c r="I210" s="213"/>
      <c r="J210" s="160">
        <v>45.430000000000007</v>
      </c>
    </row>
    <row r="211" spans="1:10" ht="18" customHeight="1" thickTop="1">
      <c r="A211" s="42" t="s">
        <v>460</v>
      </c>
      <c r="B211" s="43" t="s">
        <v>18</v>
      </c>
      <c r="C211" s="42" t="s">
        <v>19</v>
      </c>
      <c r="D211" s="42" t="s">
        <v>6</v>
      </c>
      <c r="E211" s="212" t="s">
        <v>37</v>
      </c>
      <c r="F211" s="212"/>
      <c r="G211" s="44" t="s">
        <v>20</v>
      </c>
      <c r="H211" s="43" t="s">
        <v>21</v>
      </c>
      <c r="I211" s="43" t="s">
        <v>22</v>
      </c>
      <c r="J211" s="43" t="s">
        <v>7</v>
      </c>
    </row>
    <row r="212" spans="1:10" ht="39" customHeight="1">
      <c r="A212" s="154" t="s">
        <v>38</v>
      </c>
      <c r="B212" s="155" t="s">
        <v>502</v>
      </c>
      <c r="C212" s="154" t="s">
        <v>29</v>
      </c>
      <c r="D212" s="154" t="s">
        <v>503</v>
      </c>
      <c r="E212" s="214" t="s">
        <v>67</v>
      </c>
      <c r="F212" s="214"/>
      <c r="G212" s="156" t="s">
        <v>33</v>
      </c>
      <c r="H212" s="157">
        <v>1</v>
      </c>
      <c r="I212" s="158">
        <v>18.490000000000002</v>
      </c>
      <c r="J212" s="158">
        <v>18.489999999999998</v>
      </c>
    </row>
    <row r="213" spans="1:10" ht="27" customHeight="1">
      <c r="A213" s="28" t="s">
        <v>47</v>
      </c>
      <c r="B213" s="29" t="s">
        <v>70</v>
      </c>
      <c r="C213" s="28" t="s">
        <v>29</v>
      </c>
      <c r="D213" s="28" t="s">
        <v>71</v>
      </c>
      <c r="E213" s="211" t="s">
        <v>50</v>
      </c>
      <c r="F213" s="211"/>
      <c r="G213" s="30" t="s">
        <v>51</v>
      </c>
      <c r="H213" s="31">
        <v>0.3</v>
      </c>
      <c r="I213" s="32">
        <v>20.29</v>
      </c>
      <c r="J213" s="32">
        <v>6.08</v>
      </c>
    </row>
    <row r="214" spans="1:10" ht="27" customHeight="1">
      <c r="A214" s="28" t="s">
        <v>47</v>
      </c>
      <c r="B214" s="29" t="s">
        <v>68</v>
      </c>
      <c r="C214" s="28" t="s">
        <v>29</v>
      </c>
      <c r="D214" s="28" t="s">
        <v>69</v>
      </c>
      <c r="E214" s="211" t="s">
        <v>50</v>
      </c>
      <c r="F214" s="211"/>
      <c r="G214" s="30" t="s">
        <v>51</v>
      </c>
      <c r="H214" s="31">
        <v>0.3</v>
      </c>
      <c r="I214" s="32">
        <v>24.63</v>
      </c>
      <c r="J214" s="32">
        <v>7.38</v>
      </c>
    </row>
    <row r="215" spans="1:10" ht="21" customHeight="1">
      <c r="A215" s="21" t="s">
        <v>40</v>
      </c>
      <c r="B215" s="22" t="s">
        <v>759</v>
      </c>
      <c r="C215" s="21" t="s">
        <v>29</v>
      </c>
      <c r="D215" s="21" t="s">
        <v>760</v>
      </c>
      <c r="E215" s="210" t="s">
        <v>41</v>
      </c>
      <c r="F215" s="210"/>
      <c r="G215" s="23" t="s">
        <v>33</v>
      </c>
      <c r="H215" s="24">
        <v>1</v>
      </c>
      <c r="I215" s="25">
        <v>5.03</v>
      </c>
      <c r="J215" s="25">
        <v>5.03</v>
      </c>
    </row>
    <row r="216" spans="1:10" ht="27.6">
      <c r="A216" s="26"/>
      <c r="B216" s="26"/>
      <c r="C216" s="26"/>
      <c r="D216" s="26"/>
      <c r="E216" s="161" t="s">
        <v>42</v>
      </c>
      <c r="F216" s="162">
        <v>9.16</v>
      </c>
      <c r="G216" s="26" t="s">
        <v>43</v>
      </c>
      <c r="H216" s="27">
        <v>0</v>
      </c>
      <c r="I216" s="26" t="s">
        <v>44</v>
      </c>
      <c r="J216" s="27">
        <v>9.16</v>
      </c>
    </row>
    <row r="217" spans="1:10" ht="15" customHeight="1" thickBot="1">
      <c r="A217" s="159"/>
      <c r="B217" s="159"/>
      <c r="C217" s="159"/>
      <c r="D217" s="159"/>
      <c r="E217" s="163" t="s">
        <v>45</v>
      </c>
      <c r="F217" s="164">
        <v>5.32</v>
      </c>
      <c r="G217" s="159"/>
      <c r="H217" s="213" t="s">
        <v>46</v>
      </c>
      <c r="I217" s="213"/>
      <c r="J217" s="160">
        <v>23.81</v>
      </c>
    </row>
    <row r="218" spans="1:10" ht="18" customHeight="1" thickTop="1">
      <c r="A218" s="42" t="s">
        <v>463</v>
      </c>
      <c r="B218" s="43" t="s">
        <v>18</v>
      </c>
      <c r="C218" s="42" t="s">
        <v>19</v>
      </c>
      <c r="D218" s="42" t="s">
        <v>6</v>
      </c>
      <c r="E218" s="212" t="s">
        <v>37</v>
      </c>
      <c r="F218" s="212"/>
      <c r="G218" s="44" t="s">
        <v>20</v>
      </c>
      <c r="H218" s="43" t="s">
        <v>21</v>
      </c>
      <c r="I218" s="43" t="s">
        <v>22</v>
      </c>
      <c r="J218" s="43" t="s">
        <v>7</v>
      </c>
    </row>
    <row r="219" spans="1:10" ht="21" customHeight="1">
      <c r="A219" s="154" t="s">
        <v>38</v>
      </c>
      <c r="B219" s="155" t="s">
        <v>509</v>
      </c>
      <c r="C219" s="154" t="s">
        <v>29</v>
      </c>
      <c r="D219" s="154" t="s">
        <v>510</v>
      </c>
      <c r="E219" s="214" t="s">
        <v>713</v>
      </c>
      <c r="F219" s="214"/>
      <c r="G219" s="156" t="s">
        <v>33</v>
      </c>
      <c r="H219" s="157">
        <v>1</v>
      </c>
      <c r="I219" s="158">
        <v>1.62</v>
      </c>
      <c r="J219" s="158">
        <v>1.62</v>
      </c>
    </row>
    <row r="220" spans="1:10" ht="27" customHeight="1">
      <c r="A220" s="28" t="s">
        <v>47</v>
      </c>
      <c r="B220" s="29" t="s">
        <v>48</v>
      </c>
      <c r="C220" s="28" t="s">
        <v>29</v>
      </c>
      <c r="D220" s="28" t="s">
        <v>49</v>
      </c>
      <c r="E220" s="211" t="s">
        <v>50</v>
      </c>
      <c r="F220" s="211"/>
      <c r="G220" s="30" t="s">
        <v>51</v>
      </c>
      <c r="H220" s="31">
        <v>5.8000000000000003E-2</v>
      </c>
      <c r="I220" s="32">
        <v>19.48</v>
      </c>
      <c r="J220" s="32">
        <v>1.1200000000000001</v>
      </c>
    </row>
    <row r="221" spans="1:10" ht="27" customHeight="1">
      <c r="A221" s="28" t="s">
        <v>47</v>
      </c>
      <c r="B221" s="29" t="s">
        <v>68</v>
      </c>
      <c r="C221" s="28" t="s">
        <v>29</v>
      </c>
      <c r="D221" s="28" t="s">
        <v>69</v>
      </c>
      <c r="E221" s="211" t="s">
        <v>50</v>
      </c>
      <c r="F221" s="211"/>
      <c r="G221" s="30" t="s">
        <v>51</v>
      </c>
      <c r="H221" s="31">
        <v>2.0500000000000001E-2</v>
      </c>
      <c r="I221" s="32">
        <v>24.63</v>
      </c>
      <c r="J221" s="32">
        <v>0.5</v>
      </c>
    </row>
    <row r="222" spans="1:10" ht="27.6">
      <c r="A222" s="26"/>
      <c r="B222" s="26"/>
      <c r="C222" s="26"/>
      <c r="D222" s="26"/>
      <c r="E222" s="161" t="s">
        <v>42</v>
      </c>
      <c r="F222" s="162">
        <v>1.07</v>
      </c>
      <c r="G222" s="26" t="s">
        <v>43</v>
      </c>
      <c r="H222" s="27">
        <v>0</v>
      </c>
      <c r="I222" s="26" t="s">
        <v>44</v>
      </c>
      <c r="J222" s="27">
        <v>1.07</v>
      </c>
    </row>
    <row r="223" spans="1:10" ht="15" customHeight="1" thickBot="1">
      <c r="A223" s="159"/>
      <c r="B223" s="159"/>
      <c r="C223" s="159"/>
      <c r="D223" s="159"/>
      <c r="E223" s="163" t="s">
        <v>45</v>
      </c>
      <c r="F223" s="164">
        <v>0.46</v>
      </c>
      <c r="G223" s="159"/>
      <c r="H223" s="213" t="s">
        <v>46</v>
      </c>
      <c r="I223" s="213"/>
      <c r="J223" s="160">
        <v>2.08</v>
      </c>
    </row>
    <row r="224" spans="1:10" ht="18" customHeight="1" thickTop="1">
      <c r="A224" s="42" t="s">
        <v>613</v>
      </c>
      <c r="B224" s="43" t="s">
        <v>18</v>
      </c>
      <c r="C224" s="42" t="s">
        <v>19</v>
      </c>
      <c r="D224" s="42" t="s">
        <v>6</v>
      </c>
      <c r="E224" s="212" t="s">
        <v>37</v>
      </c>
      <c r="F224" s="212"/>
      <c r="G224" s="44" t="s">
        <v>20</v>
      </c>
      <c r="H224" s="43" t="s">
        <v>21</v>
      </c>
      <c r="I224" s="43" t="s">
        <v>22</v>
      </c>
      <c r="J224" s="43" t="s">
        <v>7</v>
      </c>
    </row>
    <row r="225" spans="1:10" ht="39" customHeight="1">
      <c r="A225" s="154" t="s">
        <v>38</v>
      </c>
      <c r="B225" s="155" t="s">
        <v>511</v>
      </c>
      <c r="C225" s="154" t="s">
        <v>29</v>
      </c>
      <c r="D225" s="154" t="s">
        <v>512</v>
      </c>
      <c r="E225" s="214" t="s">
        <v>67</v>
      </c>
      <c r="F225" s="214"/>
      <c r="G225" s="156" t="s">
        <v>33</v>
      </c>
      <c r="H225" s="157">
        <v>1</v>
      </c>
      <c r="I225" s="158">
        <v>34.57</v>
      </c>
      <c r="J225" s="158">
        <v>34.57</v>
      </c>
    </row>
    <row r="226" spans="1:10" ht="27" customHeight="1">
      <c r="A226" s="28" t="s">
        <v>47</v>
      </c>
      <c r="B226" s="29" t="s">
        <v>68</v>
      </c>
      <c r="C226" s="28" t="s">
        <v>29</v>
      </c>
      <c r="D226" s="28" t="s">
        <v>69</v>
      </c>
      <c r="E226" s="211" t="s">
        <v>50</v>
      </c>
      <c r="F226" s="211"/>
      <c r="G226" s="30" t="s">
        <v>51</v>
      </c>
      <c r="H226" s="31">
        <v>0.37</v>
      </c>
      <c r="I226" s="32">
        <v>24.63</v>
      </c>
      <c r="J226" s="32">
        <v>9.11</v>
      </c>
    </row>
    <row r="227" spans="1:10" ht="27" customHeight="1">
      <c r="A227" s="28" t="s">
        <v>47</v>
      </c>
      <c r="B227" s="29" t="s">
        <v>70</v>
      </c>
      <c r="C227" s="28" t="s">
        <v>29</v>
      </c>
      <c r="D227" s="28" t="s">
        <v>71</v>
      </c>
      <c r="E227" s="211" t="s">
        <v>50</v>
      </c>
      <c r="F227" s="211"/>
      <c r="G227" s="30" t="s">
        <v>51</v>
      </c>
      <c r="H227" s="31">
        <v>0.37</v>
      </c>
      <c r="I227" s="32">
        <v>20.29</v>
      </c>
      <c r="J227" s="32">
        <v>7.5</v>
      </c>
    </row>
    <row r="228" spans="1:10" ht="21" customHeight="1">
      <c r="A228" s="21" t="s">
        <v>40</v>
      </c>
      <c r="B228" s="22" t="s">
        <v>761</v>
      </c>
      <c r="C228" s="21" t="s">
        <v>29</v>
      </c>
      <c r="D228" s="21" t="s">
        <v>762</v>
      </c>
      <c r="E228" s="210" t="s">
        <v>41</v>
      </c>
      <c r="F228" s="210"/>
      <c r="G228" s="23" t="s">
        <v>33</v>
      </c>
      <c r="H228" s="24">
        <v>1</v>
      </c>
      <c r="I228" s="25">
        <v>17.96</v>
      </c>
      <c r="J228" s="25">
        <v>17.96</v>
      </c>
    </row>
    <row r="229" spans="1:10" ht="27.6">
      <c r="A229" s="26"/>
      <c r="B229" s="26"/>
      <c r="C229" s="26"/>
      <c r="D229" s="26"/>
      <c r="E229" s="161" t="s">
        <v>42</v>
      </c>
      <c r="F229" s="162">
        <v>11.3</v>
      </c>
      <c r="G229" s="26" t="s">
        <v>43</v>
      </c>
      <c r="H229" s="27">
        <v>0</v>
      </c>
      <c r="I229" s="26" t="s">
        <v>44</v>
      </c>
      <c r="J229" s="27">
        <v>11.3</v>
      </c>
    </row>
    <row r="230" spans="1:10" ht="15" customHeight="1" thickBot="1">
      <c r="A230" s="159"/>
      <c r="B230" s="159"/>
      <c r="C230" s="159"/>
      <c r="D230" s="159"/>
      <c r="E230" s="163" t="s">
        <v>45</v>
      </c>
      <c r="F230" s="164">
        <v>9.9600000000000009</v>
      </c>
      <c r="G230" s="159"/>
      <c r="H230" s="213" t="s">
        <v>46</v>
      </c>
      <c r="I230" s="213"/>
      <c r="J230" s="160">
        <v>44.53</v>
      </c>
    </row>
    <row r="231" spans="1:10" ht="18" customHeight="1" thickTop="1">
      <c r="A231" s="42" t="s">
        <v>614</v>
      </c>
      <c r="B231" s="43" t="s">
        <v>18</v>
      </c>
      <c r="C231" s="42" t="s">
        <v>19</v>
      </c>
      <c r="D231" s="42" t="s">
        <v>6</v>
      </c>
      <c r="E231" s="212" t="s">
        <v>37</v>
      </c>
      <c r="F231" s="212"/>
      <c r="G231" s="44" t="s">
        <v>20</v>
      </c>
      <c r="H231" s="43" t="s">
        <v>21</v>
      </c>
      <c r="I231" s="43" t="s">
        <v>22</v>
      </c>
      <c r="J231" s="43" t="s">
        <v>7</v>
      </c>
    </row>
    <row r="232" spans="1:10" ht="39" customHeight="1">
      <c r="A232" s="154" t="s">
        <v>38</v>
      </c>
      <c r="B232" s="155" t="s">
        <v>513</v>
      </c>
      <c r="C232" s="154" t="s">
        <v>29</v>
      </c>
      <c r="D232" s="154" t="s">
        <v>514</v>
      </c>
      <c r="E232" s="214" t="s">
        <v>67</v>
      </c>
      <c r="F232" s="214"/>
      <c r="G232" s="156" t="s">
        <v>33</v>
      </c>
      <c r="H232" s="157">
        <v>1</v>
      </c>
      <c r="I232" s="158">
        <v>121.86</v>
      </c>
      <c r="J232" s="158">
        <v>121.86</v>
      </c>
    </row>
    <row r="233" spans="1:10" ht="27" customHeight="1">
      <c r="A233" s="28" t="s">
        <v>47</v>
      </c>
      <c r="B233" s="29" t="s">
        <v>68</v>
      </c>
      <c r="C233" s="28" t="s">
        <v>29</v>
      </c>
      <c r="D233" s="28" t="s">
        <v>69</v>
      </c>
      <c r="E233" s="211" t="s">
        <v>50</v>
      </c>
      <c r="F233" s="211"/>
      <c r="G233" s="30" t="s">
        <v>51</v>
      </c>
      <c r="H233" s="31">
        <v>0.55179999999999996</v>
      </c>
      <c r="I233" s="32">
        <v>24.63</v>
      </c>
      <c r="J233" s="32">
        <v>13.59</v>
      </c>
    </row>
    <row r="234" spans="1:10" ht="27" customHeight="1">
      <c r="A234" s="28" t="s">
        <v>47</v>
      </c>
      <c r="B234" s="29" t="s">
        <v>70</v>
      </c>
      <c r="C234" s="28" t="s">
        <v>29</v>
      </c>
      <c r="D234" s="28" t="s">
        <v>71</v>
      </c>
      <c r="E234" s="211" t="s">
        <v>50</v>
      </c>
      <c r="F234" s="211"/>
      <c r="G234" s="30" t="s">
        <v>51</v>
      </c>
      <c r="H234" s="31">
        <v>0.22989999999999999</v>
      </c>
      <c r="I234" s="32">
        <v>20.29</v>
      </c>
      <c r="J234" s="32">
        <v>4.66</v>
      </c>
    </row>
    <row r="235" spans="1:10" ht="27" customHeight="1">
      <c r="A235" s="21" t="s">
        <v>40</v>
      </c>
      <c r="B235" s="22" t="s">
        <v>763</v>
      </c>
      <c r="C235" s="21" t="s">
        <v>29</v>
      </c>
      <c r="D235" s="21" t="s">
        <v>764</v>
      </c>
      <c r="E235" s="210" t="s">
        <v>41</v>
      </c>
      <c r="F235" s="210"/>
      <c r="G235" s="23" t="s">
        <v>33</v>
      </c>
      <c r="H235" s="24">
        <v>1</v>
      </c>
      <c r="I235" s="25">
        <v>96.82</v>
      </c>
      <c r="J235" s="25">
        <v>96.82</v>
      </c>
    </row>
    <row r="236" spans="1:10" ht="21" customHeight="1">
      <c r="A236" s="21" t="s">
        <v>40</v>
      </c>
      <c r="B236" s="22" t="s">
        <v>765</v>
      </c>
      <c r="C236" s="21" t="s">
        <v>29</v>
      </c>
      <c r="D236" s="21" t="s">
        <v>766</v>
      </c>
      <c r="E236" s="210" t="s">
        <v>41</v>
      </c>
      <c r="F236" s="210"/>
      <c r="G236" s="23" t="s">
        <v>33</v>
      </c>
      <c r="H236" s="24">
        <v>1</v>
      </c>
      <c r="I236" s="25">
        <v>6.79</v>
      </c>
      <c r="J236" s="25">
        <v>6.79</v>
      </c>
    </row>
    <row r="237" spans="1:10" ht="27.6">
      <c r="A237" s="26"/>
      <c r="B237" s="26"/>
      <c r="C237" s="26"/>
      <c r="D237" s="26"/>
      <c r="E237" s="161" t="s">
        <v>42</v>
      </c>
      <c r="F237" s="162">
        <v>12.63</v>
      </c>
      <c r="G237" s="26" t="s">
        <v>43</v>
      </c>
      <c r="H237" s="27">
        <v>0</v>
      </c>
      <c r="I237" s="26" t="s">
        <v>44</v>
      </c>
      <c r="J237" s="27">
        <v>12.63</v>
      </c>
    </row>
    <row r="238" spans="1:10" ht="15" customHeight="1" thickBot="1">
      <c r="A238" s="159"/>
      <c r="B238" s="159"/>
      <c r="C238" s="159"/>
      <c r="D238" s="159"/>
      <c r="E238" s="163" t="s">
        <v>45</v>
      </c>
      <c r="F238" s="164">
        <v>35.119999999999997</v>
      </c>
      <c r="G238" s="159"/>
      <c r="H238" s="213" t="s">
        <v>46</v>
      </c>
      <c r="I238" s="213"/>
      <c r="J238" s="160">
        <v>156.97999999999999</v>
      </c>
    </row>
    <row r="239" spans="1:10" ht="18" customHeight="1" thickTop="1">
      <c r="A239" s="42" t="s">
        <v>615</v>
      </c>
      <c r="B239" s="43" t="s">
        <v>18</v>
      </c>
      <c r="C239" s="42" t="s">
        <v>19</v>
      </c>
      <c r="D239" s="42" t="s">
        <v>6</v>
      </c>
      <c r="E239" s="212" t="s">
        <v>37</v>
      </c>
      <c r="F239" s="212"/>
      <c r="G239" s="44" t="s">
        <v>20</v>
      </c>
      <c r="H239" s="43" t="s">
        <v>21</v>
      </c>
      <c r="I239" s="43" t="s">
        <v>22</v>
      </c>
      <c r="J239" s="43" t="s">
        <v>7</v>
      </c>
    </row>
    <row r="240" spans="1:10" ht="39" customHeight="1">
      <c r="A240" s="154" t="s">
        <v>38</v>
      </c>
      <c r="B240" s="155" t="s">
        <v>431</v>
      </c>
      <c r="C240" s="154" t="s">
        <v>29</v>
      </c>
      <c r="D240" s="154" t="s">
        <v>616</v>
      </c>
      <c r="E240" s="214" t="s">
        <v>67</v>
      </c>
      <c r="F240" s="214"/>
      <c r="G240" s="156" t="s">
        <v>33</v>
      </c>
      <c r="H240" s="157">
        <v>1</v>
      </c>
      <c r="I240" s="158">
        <v>432.87</v>
      </c>
      <c r="J240" s="158">
        <v>432.87</v>
      </c>
    </row>
    <row r="241" spans="1:10" ht="27" customHeight="1">
      <c r="A241" s="28" t="s">
        <v>47</v>
      </c>
      <c r="B241" s="29" t="s">
        <v>68</v>
      </c>
      <c r="C241" s="28" t="s">
        <v>29</v>
      </c>
      <c r="D241" s="28" t="s">
        <v>69</v>
      </c>
      <c r="E241" s="211" t="s">
        <v>50</v>
      </c>
      <c r="F241" s="211"/>
      <c r="G241" s="30" t="s">
        <v>51</v>
      </c>
      <c r="H241" s="31">
        <v>0.41649999999999998</v>
      </c>
      <c r="I241" s="32">
        <v>24.63</v>
      </c>
      <c r="J241" s="32">
        <v>10.25</v>
      </c>
    </row>
    <row r="242" spans="1:10" ht="27" customHeight="1">
      <c r="A242" s="28" t="s">
        <v>47</v>
      </c>
      <c r="B242" s="29" t="s">
        <v>70</v>
      </c>
      <c r="C242" s="28" t="s">
        <v>29</v>
      </c>
      <c r="D242" s="28" t="s">
        <v>71</v>
      </c>
      <c r="E242" s="211" t="s">
        <v>50</v>
      </c>
      <c r="F242" s="211"/>
      <c r="G242" s="30" t="s">
        <v>51</v>
      </c>
      <c r="H242" s="31">
        <v>0.17349999999999999</v>
      </c>
      <c r="I242" s="32">
        <v>20.29</v>
      </c>
      <c r="J242" s="32">
        <v>3.52</v>
      </c>
    </row>
    <row r="243" spans="1:10" ht="27" customHeight="1">
      <c r="A243" s="21" t="s">
        <v>40</v>
      </c>
      <c r="B243" s="22" t="s">
        <v>434</v>
      </c>
      <c r="C243" s="21" t="s">
        <v>29</v>
      </c>
      <c r="D243" s="21" t="s">
        <v>435</v>
      </c>
      <c r="E243" s="210" t="s">
        <v>41</v>
      </c>
      <c r="F243" s="210"/>
      <c r="G243" s="23" t="s">
        <v>33</v>
      </c>
      <c r="H243" s="24">
        <v>1</v>
      </c>
      <c r="I243" s="25">
        <v>169.69</v>
      </c>
      <c r="J243" s="25">
        <v>169.69</v>
      </c>
    </row>
    <row r="244" spans="1:10" ht="21" customHeight="1">
      <c r="A244" s="21" t="s">
        <v>40</v>
      </c>
      <c r="B244" s="22" t="s">
        <v>432</v>
      </c>
      <c r="C244" s="21" t="s">
        <v>29</v>
      </c>
      <c r="D244" s="21" t="s">
        <v>433</v>
      </c>
      <c r="E244" s="210" t="s">
        <v>41</v>
      </c>
      <c r="F244" s="210"/>
      <c r="G244" s="23" t="s">
        <v>33</v>
      </c>
      <c r="H244" s="24">
        <v>1</v>
      </c>
      <c r="I244" s="25">
        <v>26.66</v>
      </c>
      <c r="J244" s="25">
        <v>26.66</v>
      </c>
    </row>
    <row r="245" spans="1:10" ht="27" customHeight="1">
      <c r="A245" s="21" t="s">
        <v>40</v>
      </c>
      <c r="B245" s="22" t="s">
        <v>436</v>
      </c>
      <c r="C245" s="21" t="s">
        <v>29</v>
      </c>
      <c r="D245" s="21" t="s">
        <v>437</v>
      </c>
      <c r="E245" s="210" t="s">
        <v>41</v>
      </c>
      <c r="F245" s="210"/>
      <c r="G245" s="23" t="s">
        <v>33</v>
      </c>
      <c r="H245" s="24">
        <v>1</v>
      </c>
      <c r="I245" s="25">
        <v>222.75</v>
      </c>
      <c r="J245" s="25">
        <v>222.75</v>
      </c>
    </row>
    <row r="246" spans="1:10" ht="27.6">
      <c r="A246" s="26"/>
      <c r="B246" s="26"/>
      <c r="C246" s="26"/>
      <c r="D246" s="26"/>
      <c r="E246" s="161" t="s">
        <v>42</v>
      </c>
      <c r="F246" s="162">
        <v>9.5399999999999991</v>
      </c>
      <c r="G246" s="26" t="s">
        <v>43</v>
      </c>
      <c r="H246" s="27">
        <v>0</v>
      </c>
      <c r="I246" s="26" t="s">
        <v>44</v>
      </c>
      <c r="J246" s="27">
        <v>9.5399999999999991</v>
      </c>
    </row>
    <row r="247" spans="1:10" ht="15" customHeight="1" thickBot="1">
      <c r="A247" s="159"/>
      <c r="B247" s="159"/>
      <c r="C247" s="159"/>
      <c r="D247" s="159"/>
      <c r="E247" s="163" t="s">
        <v>45</v>
      </c>
      <c r="F247" s="164">
        <v>124.75</v>
      </c>
      <c r="G247" s="159"/>
      <c r="H247" s="213" t="s">
        <v>46</v>
      </c>
      <c r="I247" s="213"/>
      <c r="J247" s="160">
        <v>557.62</v>
      </c>
    </row>
    <row r="248" spans="1:10" ht="18" customHeight="1" thickTop="1">
      <c r="A248" s="42" t="s">
        <v>618</v>
      </c>
      <c r="B248" s="43" t="s">
        <v>18</v>
      </c>
      <c r="C248" s="42" t="s">
        <v>19</v>
      </c>
      <c r="D248" s="42" t="s">
        <v>6</v>
      </c>
      <c r="E248" s="212" t="s">
        <v>37</v>
      </c>
      <c r="F248" s="212"/>
      <c r="G248" s="44" t="s">
        <v>20</v>
      </c>
      <c r="H248" s="43" t="s">
        <v>21</v>
      </c>
      <c r="I248" s="43" t="s">
        <v>22</v>
      </c>
      <c r="J248" s="43" t="s">
        <v>7</v>
      </c>
    </row>
    <row r="249" spans="1:10" ht="27" customHeight="1">
      <c r="A249" s="154" t="s">
        <v>38</v>
      </c>
      <c r="B249" s="155" t="s">
        <v>516</v>
      </c>
      <c r="C249" s="154" t="s">
        <v>29</v>
      </c>
      <c r="D249" s="154" t="s">
        <v>517</v>
      </c>
      <c r="E249" s="214" t="s">
        <v>713</v>
      </c>
      <c r="F249" s="214"/>
      <c r="G249" s="156" t="s">
        <v>33</v>
      </c>
      <c r="H249" s="157">
        <v>1</v>
      </c>
      <c r="I249" s="158">
        <v>0.59</v>
      </c>
      <c r="J249" s="158">
        <v>0.59</v>
      </c>
    </row>
    <row r="250" spans="1:10" ht="27" customHeight="1">
      <c r="A250" s="28" t="s">
        <v>47</v>
      </c>
      <c r="B250" s="29" t="s">
        <v>48</v>
      </c>
      <c r="C250" s="28" t="s">
        <v>29</v>
      </c>
      <c r="D250" s="28" t="s">
        <v>49</v>
      </c>
      <c r="E250" s="211" t="s">
        <v>50</v>
      </c>
      <c r="F250" s="211"/>
      <c r="G250" s="30" t="s">
        <v>51</v>
      </c>
      <c r="H250" s="31">
        <v>2.1499999999999998E-2</v>
      </c>
      <c r="I250" s="32">
        <v>19.48</v>
      </c>
      <c r="J250" s="32">
        <v>0.41</v>
      </c>
    </row>
    <row r="251" spans="1:10" ht="27" customHeight="1">
      <c r="A251" s="28" t="s">
        <v>47</v>
      </c>
      <c r="B251" s="29" t="s">
        <v>68</v>
      </c>
      <c r="C251" s="28" t="s">
        <v>29</v>
      </c>
      <c r="D251" s="28" t="s">
        <v>69</v>
      </c>
      <c r="E251" s="211" t="s">
        <v>50</v>
      </c>
      <c r="F251" s="211"/>
      <c r="G251" s="30" t="s">
        <v>51</v>
      </c>
      <c r="H251" s="31">
        <v>7.6E-3</v>
      </c>
      <c r="I251" s="32">
        <v>24.63</v>
      </c>
      <c r="J251" s="32">
        <v>0.18</v>
      </c>
    </row>
    <row r="252" spans="1:10" ht="27.6">
      <c r="A252" s="26"/>
      <c r="B252" s="26"/>
      <c r="C252" s="26"/>
      <c r="D252" s="26"/>
      <c r="E252" s="161" t="s">
        <v>42</v>
      </c>
      <c r="F252" s="162">
        <v>0.39</v>
      </c>
      <c r="G252" s="26" t="s">
        <v>43</v>
      </c>
      <c r="H252" s="27">
        <v>0</v>
      </c>
      <c r="I252" s="26" t="s">
        <v>44</v>
      </c>
      <c r="J252" s="27">
        <v>0.39</v>
      </c>
    </row>
    <row r="253" spans="1:10" ht="15" customHeight="1" thickBot="1">
      <c r="A253" s="159"/>
      <c r="B253" s="159"/>
      <c r="C253" s="159"/>
      <c r="D253" s="159"/>
      <c r="E253" s="163" t="s">
        <v>45</v>
      </c>
      <c r="F253" s="164">
        <v>0.17</v>
      </c>
      <c r="G253" s="159"/>
      <c r="H253" s="213" t="s">
        <v>46</v>
      </c>
      <c r="I253" s="213"/>
      <c r="J253" s="160">
        <v>0.76</v>
      </c>
    </row>
    <row r="254" spans="1:10" ht="18" customHeight="1" thickTop="1">
      <c r="A254" s="42" t="s">
        <v>619</v>
      </c>
      <c r="B254" s="43" t="s">
        <v>18</v>
      </c>
      <c r="C254" s="42" t="s">
        <v>19</v>
      </c>
      <c r="D254" s="42" t="s">
        <v>6</v>
      </c>
      <c r="E254" s="212" t="s">
        <v>37</v>
      </c>
      <c r="F254" s="212"/>
      <c r="G254" s="44" t="s">
        <v>20</v>
      </c>
      <c r="H254" s="43" t="s">
        <v>21</v>
      </c>
      <c r="I254" s="43" t="s">
        <v>22</v>
      </c>
      <c r="J254" s="43" t="s">
        <v>7</v>
      </c>
    </row>
    <row r="255" spans="1:10" ht="39" customHeight="1">
      <c r="A255" s="154" t="s">
        <v>38</v>
      </c>
      <c r="B255" s="155" t="s">
        <v>518</v>
      </c>
      <c r="C255" s="154" t="s">
        <v>29</v>
      </c>
      <c r="D255" s="154" t="s">
        <v>519</v>
      </c>
      <c r="E255" s="214" t="s">
        <v>67</v>
      </c>
      <c r="F255" s="214"/>
      <c r="G255" s="156" t="s">
        <v>33</v>
      </c>
      <c r="H255" s="157">
        <v>1</v>
      </c>
      <c r="I255" s="158">
        <v>33.25</v>
      </c>
      <c r="J255" s="158">
        <v>33.25</v>
      </c>
    </row>
    <row r="256" spans="1:10" ht="39" customHeight="1">
      <c r="A256" s="28" t="s">
        <v>47</v>
      </c>
      <c r="B256" s="29" t="s">
        <v>767</v>
      </c>
      <c r="C256" s="28" t="s">
        <v>29</v>
      </c>
      <c r="D256" s="28" t="s">
        <v>768</v>
      </c>
      <c r="E256" s="211" t="s">
        <v>67</v>
      </c>
      <c r="F256" s="211"/>
      <c r="G256" s="30" t="s">
        <v>33</v>
      </c>
      <c r="H256" s="31">
        <v>1</v>
      </c>
      <c r="I256" s="32">
        <v>23.12</v>
      </c>
      <c r="J256" s="32">
        <v>23.12</v>
      </c>
    </row>
    <row r="257" spans="1:10" ht="39" customHeight="1">
      <c r="A257" s="28" t="s">
        <v>47</v>
      </c>
      <c r="B257" s="29" t="s">
        <v>256</v>
      </c>
      <c r="C257" s="28" t="s">
        <v>29</v>
      </c>
      <c r="D257" s="28" t="s">
        <v>769</v>
      </c>
      <c r="E257" s="211" t="s">
        <v>67</v>
      </c>
      <c r="F257" s="211"/>
      <c r="G257" s="30" t="s">
        <v>33</v>
      </c>
      <c r="H257" s="31">
        <v>1</v>
      </c>
      <c r="I257" s="32">
        <v>10.130000000000001</v>
      </c>
      <c r="J257" s="32">
        <v>10.130000000000001</v>
      </c>
    </row>
    <row r="258" spans="1:10" ht="27.6">
      <c r="A258" s="26"/>
      <c r="B258" s="26"/>
      <c r="C258" s="26"/>
      <c r="D258" s="26"/>
      <c r="E258" s="161" t="s">
        <v>42</v>
      </c>
      <c r="F258" s="162">
        <v>13.57</v>
      </c>
      <c r="G258" s="26" t="s">
        <v>43</v>
      </c>
      <c r="H258" s="27">
        <v>0</v>
      </c>
      <c r="I258" s="26" t="s">
        <v>44</v>
      </c>
      <c r="J258" s="27">
        <v>13.57</v>
      </c>
    </row>
    <row r="259" spans="1:10" ht="15" customHeight="1" thickBot="1">
      <c r="A259" s="159"/>
      <c r="B259" s="159"/>
      <c r="C259" s="159"/>
      <c r="D259" s="159"/>
      <c r="E259" s="163" t="s">
        <v>45</v>
      </c>
      <c r="F259" s="164">
        <v>9.58</v>
      </c>
      <c r="G259" s="159"/>
      <c r="H259" s="213" t="s">
        <v>46</v>
      </c>
      <c r="I259" s="213"/>
      <c r="J259" s="160">
        <v>42.83</v>
      </c>
    </row>
    <row r="260" spans="1:10" ht="18" customHeight="1" thickTop="1">
      <c r="A260" s="42" t="s">
        <v>620</v>
      </c>
      <c r="B260" s="43" t="s">
        <v>18</v>
      </c>
      <c r="C260" s="42" t="s">
        <v>19</v>
      </c>
      <c r="D260" s="42" t="s">
        <v>6</v>
      </c>
      <c r="E260" s="212" t="s">
        <v>37</v>
      </c>
      <c r="F260" s="212"/>
      <c r="G260" s="44" t="s">
        <v>20</v>
      </c>
      <c r="H260" s="43" t="s">
        <v>21</v>
      </c>
      <c r="I260" s="43" t="s">
        <v>22</v>
      </c>
      <c r="J260" s="43" t="s">
        <v>7</v>
      </c>
    </row>
    <row r="261" spans="1:10" ht="39" customHeight="1">
      <c r="A261" s="154" t="s">
        <v>38</v>
      </c>
      <c r="B261" s="155" t="s">
        <v>520</v>
      </c>
      <c r="C261" s="154" t="s">
        <v>29</v>
      </c>
      <c r="D261" s="154" t="s">
        <v>521</v>
      </c>
      <c r="E261" s="214" t="s">
        <v>67</v>
      </c>
      <c r="F261" s="214"/>
      <c r="G261" s="156" t="s">
        <v>33</v>
      </c>
      <c r="H261" s="157">
        <v>1</v>
      </c>
      <c r="I261" s="158">
        <v>53.620000000000005</v>
      </c>
      <c r="J261" s="158">
        <v>53.62</v>
      </c>
    </row>
    <row r="262" spans="1:10" ht="39" customHeight="1">
      <c r="A262" s="28" t="s">
        <v>47</v>
      </c>
      <c r="B262" s="29" t="s">
        <v>770</v>
      </c>
      <c r="C262" s="28" t="s">
        <v>29</v>
      </c>
      <c r="D262" s="28" t="s">
        <v>771</v>
      </c>
      <c r="E262" s="211" t="s">
        <v>67</v>
      </c>
      <c r="F262" s="211"/>
      <c r="G262" s="30" t="s">
        <v>33</v>
      </c>
      <c r="H262" s="31">
        <v>1</v>
      </c>
      <c r="I262" s="32">
        <v>43.49</v>
      </c>
      <c r="J262" s="32">
        <v>43.49</v>
      </c>
    </row>
    <row r="263" spans="1:10" ht="39" customHeight="1">
      <c r="A263" s="28" t="s">
        <v>47</v>
      </c>
      <c r="B263" s="29" t="s">
        <v>256</v>
      </c>
      <c r="C263" s="28" t="s">
        <v>29</v>
      </c>
      <c r="D263" s="28" t="s">
        <v>769</v>
      </c>
      <c r="E263" s="211" t="s">
        <v>67</v>
      </c>
      <c r="F263" s="211"/>
      <c r="G263" s="30" t="s">
        <v>33</v>
      </c>
      <c r="H263" s="31">
        <v>1</v>
      </c>
      <c r="I263" s="32">
        <v>10.130000000000001</v>
      </c>
      <c r="J263" s="32">
        <v>10.130000000000001</v>
      </c>
    </row>
    <row r="264" spans="1:10" ht="27.6">
      <c r="A264" s="26"/>
      <c r="B264" s="26"/>
      <c r="C264" s="26"/>
      <c r="D264" s="26"/>
      <c r="E264" s="161" t="s">
        <v>42</v>
      </c>
      <c r="F264" s="162">
        <v>21.37</v>
      </c>
      <c r="G264" s="26" t="s">
        <v>43</v>
      </c>
      <c r="H264" s="27">
        <v>0</v>
      </c>
      <c r="I264" s="26" t="s">
        <v>44</v>
      </c>
      <c r="J264" s="27">
        <v>21.37</v>
      </c>
    </row>
    <row r="265" spans="1:10" ht="15" customHeight="1" thickBot="1">
      <c r="A265" s="159"/>
      <c r="B265" s="159"/>
      <c r="C265" s="159"/>
      <c r="D265" s="159"/>
      <c r="E265" s="163" t="s">
        <v>45</v>
      </c>
      <c r="F265" s="164">
        <v>15.45</v>
      </c>
      <c r="G265" s="159"/>
      <c r="H265" s="213" t="s">
        <v>46</v>
      </c>
      <c r="I265" s="213"/>
      <c r="J265" s="160">
        <v>69.069999999999993</v>
      </c>
    </row>
    <row r="266" spans="1:10" ht="18" customHeight="1" thickTop="1">
      <c r="A266" s="42" t="s">
        <v>621</v>
      </c>
      <c r="B266" s="43" t="s">
        <v>18</v>
      </c>
      <c r="C266" s="42" t="s">
        <v>19</v>
      </c>
      <c r="D266" s="42" t="s">
        <v>6</v>
      </c>
      <c r="E266" s="212" t="s">
        <v>37</v>
      </c>
      <c r="F266" s="212"/>
      <c r="G266" s="44" t="s">
        <v>20</v>
      </c>
      <c r="H266" s="43" t="s">
        <v>21</v>
      </c>
      <c r="I266" s="43" t="s">
        <v>22</v>
      </c>
      <c r="J266" s="43" t="s">
        <v>7</v>
      </c>
    </row>
    <row r="267" spans="1:10" ht="39" customHeight="1">
      <c r="A267" s="154" t="s">
        <v>38</v>
      </c>
      <c r="B267" s="155" t="s">
        <v>622</v>
      </c>
      <c r="C267" s="154" t="s">
        <v>29</v>
      </c>
      <c r="D267" s="154" t="s">
        <v>623</v>
      </c>
      <c r="E267" s="214" t="s">
        <v>67</v>
      </c>
      <c r="F267" s="214"/>
      <c r="G267" s="156" t="s">
        <v>33</v>
      </c>
      <c r="H267" s="157">
        <v>1</v>
      </c>
      <c r="I267" s="158">
        <v>73.929999999999993</v>
      </c>
      <c r="J267" s="158">
        <v>73.930000000000007</v>
      </c>
    </row>
    <row r="268" spans="1:10" ht="39" customHeight="1">
      <c r="A268" s="28" t="s">
        <v>47</v>
      </c>
      <c r="B268" s="29" t="s">
        <v>772</v>
      </c>
      <c r="C268" s="28" t="s">
        <v>29</v>
      </c>
      <c r="D268" s="28" t="s">
        <v>773</v>
      </c>
      <c r="E268" s="211" t="s">
        <v>67</v>
      </c>
      <c r="F268" s="211"/>
      <c r="G268" s="30" t="s">
        <v>33</v>
      </c>
      <c r="H268" s="31">
        <v>1</v>
      </c>
      <c r="I268" s="32">
        <v>63.8</v>
      </c>
      <c r="J268" s="32">
        <v>63.8</v>
      </c>
    </row>
    <row r="269" spans="1:10" ht="39" customHeight="1">
      <c r="A269" s="28" t="s">
        <v>47</v>
      </c>
      <c r="B269" s="29" t="s">
        <v>256</v>
      </c>
      <c r="C269" s="28" t="s">
        <v>29</v>
      </c>
      <c r="D269" s="28" t="s">
        <v>769</v>
      </c>
      <c r="E269" s="211" t="s">
        <v>67</v>
      </c>
      <c r="F269" s="211"/>
      <c r="G269" s="30" t="s">
        <v>33</v>
      </c>
      <c r="H269" s="31">
        <v>1</v>
      </c>
      <c r="I269" s="32">
        <v>10.130000000000001</v>
      </c>
      <c r="J269" s="32">
        <v>10.130000000000001</v>
      </c>
    </row>
    <row r="270" spans="1:10" ht="27.6">
      <c r="A270" s="26"/>
      <c r="B270" s="26"/>
      <c r="C270" s="26"/>
      <c r="D270" s="26"/>
      <c r="E270" s="161" t="s">
        <v>42</v>
      </c>
      <c r="F270" s="162">
        <v>29.14</v>
      </c>
      <c r="G270" s="26" t="s">
        <v>43</v>
      </c>
      <c r="H270" s="27">
        <v>0</v>
      </c>
      <c r="I270" s="26" t="s">
        <v>44</v>
      </c>
      <c r="J270" s="27">
        <v>29.14</v>
      </c>
    </row>
    <row r="271" spans="1:10" ht="15" customHeight="1" thickBot="1">
      <c r="A271" s="159"/>
      <c r="B271" s="159"/>
      <c r="C271" s="159"/>
      <c r="D271" s="159"/>
      <c r="E271" s="163" t="s">
        <v>45</v>
      </c>
      <c r="F271" s="164">
        <v>21.3</v>
      </c>
      <c r="G271" s="159"/>
      <c r="H271" s="213" t="s">
        <v>46</v>
      </c>
      <c r="I271" s="213"/>
      <c r="J271" s="160">
        <v>95.23</v>
      </c>
    </row>
    <row r="272" spans="1:10" ht="18" customHeight="1" thickTop="1">
      <c r="A272" s="42" t="s">
        <v>624</v>
      </c>
      <c r="B272" s="43" t="s">
        <v>18</v>
      </c>
      <c r="C272" s="42" t="s">
        <v>19</v>
      </c>
      <c r="D272" s="42" t="s">
        <v>6</v>
      </c>
      <c r="E272" s="212" t="s">
        <v>37</v>
      </c>
      <c r="F272" s="212"/>
      <c r="G272" s="44" t="s">
        <v>20</v>
      </c>
      <c r="H272" s="43" t="s">
        <v>21</v>
      </c>
      <c r="I272" s="43" t="s">
        <v>22</v>
      </c>
      <c r="J272" s="43" t="s">
        <v>7</v>
      </c>
    </row>
    <row r="273" spans="1:10" ht="39" customHeight="1">
      <c r="A273" s="154" t="s">
        <v>38</v>
      </c>
      <c r="B273" s="155" t="s">
        <v>522</v>
      </c>
      <c r="C273" s="154" t="s">
        <v>29</v>
      </c>
      <c r="D273" s="154" t="s">
        <v>523</v>
      </c>
      <c r="E273" s="214" t="s">
        <v>67</v>
      </c>
      <c r="F273" s="214"/>
      <c r="G273" s="156" t="s">
        <v>33</v>
      </c>
      <c r="H273" s="157">
        <v>1</v>
      </c>
      <c r="I273" s="158">
        <v>40.840000000000003</v>
      </c>
      <c r="J273" s="158">
        <v>40.840000000000003</v>
      </c>
    </row>
    <row r="274" spans="1:10" ht="39" customHeight="1">
      <c r="A274" s="28" t="s">
        <v>47</v>
      </c>
      <c r="B274" s="29" t="s">
        <v>256</v>
      </c>
      <c r="C274" s="28" t="s">
        <v>29</v>
      </c>
      <c r="D274" s="28" t="s">
        <v>769</v>
      </c>
      <c r="E274" s="211" t="s">
        <v>67</v>
      </c>
      <c r="F274" s="211"/>
      <c r="G274" s="30" t="s">
        <v>33</v>
      </c>
      <c r="H274" s="31">
        <v>1</v>
      </c>
      <c r="I274" s="32">
        <v>10.130000000000001</v>
      </c>
      <c r="J274" s="32">
        <v>10.130000000000001</v>
      </c>
    </row>
    <row r="275" spans="1:10" ht="39" customHeight="1">
      <c r="A275" s="28" t="s">
        <v>47</v>
      </c>
      <c r="B275" s="29" t="s">
        <v>774</v>
      </c>
      <c r="C275" s="28" t="s">
        <v>29</v>
      </c>
      <c r="D275" s="28" t="s">
        <v>775</v>
      </c>
      <c r="E275" s="211" t="s">
        <v>67</v>
      </c>
      <c r="F275" s="211"/>
      <c r="G275" s="30" t="s">
        <v>33</v>
      </c>
      <c r="H275" s="31">
        <v>1</v>
      </c>
      <c r="I275" s="32">
        <v>30.71</v>
      </c>
      <c r="J275" s="32">
        <v>30.71</v>
      </c>
    </row>
    <row r="276" spans="1:10" ht="27.6">
      <c r="A276" s="26"/>
      <c r="B276" s="26"/>
      <c r="C276" s="26"/>
      <c r="D276" s="26"/>
      <c r="E276" s="161" t="s">
        <v>42</v>
      </c>
      <c r="F276" s="162">
        <v>19.5</v>
      </c>
      <c r="G276" s="26" t="s">
        <v>43</v>
      </c>
      <c r="H276" s="27">
        <v>0</v>
      </c>
      <c r="I276" s="26" t="s">
        <v>44</v>
      </c>
      <c r="J276" s="27">
        <v>19.5</v>
      </c>
    </row>
    <row r="277" spans="1:10" ht="15" customHeight="1" thickBot="1">
      <c r="A277" s="159"/>
      <c r="B277" s="159"/>
      <c r="C277" s="159"/>
      <c r="D277" s="159"/>
      <c r="E277" s="163" t="s">
        <v>45</v>
      </c>
      <c r="F277" s="164">
        <v>11.77</v>
      </c>
      <c r="G277" s="159"/>
      <c r="H277" s="213" t="s">
        <v>46</v>
      </c>
      <c r="I277" s="213"/>
      <c r="J277" s="160">
        <v>52.61</v>
      </c>
    </row>
    <row r="278" spans="1:10" ht="18" customHeight="1" thickTop="1">
      <c r="A278" s="42" t="s">
        <v>625</v>
      </c>
      <c r="B278" s="43" t="s">
        <v>18</v>
      </c>
      <c r="C278" s="42" t="s">
        <v>19</v>
      </c>
      <c r="D278" s="42" t="s">
        <v>6</v>
      </c>
      <c r="E278" s="212" t="s">
        <v>37</v>
      </c>
      <c r="F278" s="212"/>
      <c r="G278" s="44" t="s">
        <v>20</v>
      </c>
      <c r="H278" s="43" t="s">
        <v>21</v>
      </c>
      <c r="I278" s="43" t="s">
        <v>22</v>
      </c>
      <c r="J278" s="43" t="s">
        <v>7</v>
      </c>
    </row>
    <row r="279" spans="1:10" ht="21" customHeight="1">
      <c r="A279" s="154" t="s">
        <v>38</v>
      </c>
      <c r="B279" s="155" t="s">
        <v>526</v>
      </c>
      <c r="C279" s="154" t="s">
        <v>66</v>
      </c>
      <c r="D279" s="154" t="s">
        <v>527</v>
      </c>
      <c r="E279" s="214" t="s">
        <v>720</v>
      </c>
      <c r="F279" s="214"/>
      <c r="G279" s="156" t="s">
        <v>507</v>
      </c>
      <c r="H279" s="157">
        <v>1</v>
      </c>
      <c r="I279" s="158">
        <v>115.68</v>
      </c>
      <c r="J279" s="158">
        <v>115.68</v>
      </c>
    </row>
    <row r="280" spans="1:10" ht="27" customHeight="1">
      <c r="A280" s="28" t="s">
        <v>47</v>
      </c>
      <c r="B280" s="29" t="s">
        <v>776</v>
      </c>
      <c r="C280" s="28" t="s">
        <v>66</v>
      </c>
      <c r="D280" s="28" t="s">
        <v>777</v>
      </c>
      <c r="E280" s="211" t="s">
        <v>720</v>
      </c>
      <c r="F280" s="211"/>
      <c r="G280" s="30" t="s">
        <v>507</v>
      </c>
      <c r="H280" s="31">
        <v>0.3</v>
      </c>
      <c r="I280" s="32">
        <v>385.61</v>
      </c>
      <c r="J280" s="32">
        <v>115.68</v>
      </c>
    </row>
    <row r="281" spans="1:10" ht="27.6">
      <c r="A281" s="26"/>
      <c r="B281" s="26"/>
      <c r="C281" s="26"/>
      <c r="D281" s="26"/>
      <c r="E281" s="161" t="s">
        <v>42</v>
      </c>
      <c r="F281" s="162">
        <v>42.89</v>
      </c>
      <c r="G281" s="26" t="s">
        <v>43</v>
      </c>
      <c r="H281" s="27">
        <v>0</v>
      </c>
      <c r="I281" s="26" t="s">
        <v>44</v>
      </c>
      <c r="J281" s="27">
        <v>42.89</v>
      </c>
    </row>
    <row r="282" spans="1:10" ht="15" customHeight="1" thickBot="1">
      <c r="A282" s="159"/>
      <c r="B282" s="159"/>
      <c r="C282" s="159"/>
      <c r="D282" s="159"/>
      <c r="E282" s="163" t="s">
        <v>45</v>
      </c>
      <c r="F282" s="164">
        <v>33.33</v>
      </c>
      <c r="G282" s="159"/>
      <c r="H282" s="213" t="s">
        <v>46</v>
      </c>
      <c r="I282" s="213"/>
      <c r="J282" s="160">
        <v>149.01</v>
      </c>
    </row>
    <row r="283" spans="1:10" ht="18" customHeight="1" thickTop="1">
      <c r="A283" s="42" t="s">
        <v>626</v>
      </c>
      <c r="B283" s="43" t="s">
        <v>18</v>
      </c>
      <c r="C283" s="42" t="s">
        <v>19</v>
      </c>
      <c r="D283" s="42" t="s">
        <v>6</v>
      </c>
      <c r="E283" s="212" t="s">
        <v>37</v>
      </c>
      <c r="F283" s="212"/>
      <c r="G283" s="44" t="s">
        <v>20</v>
      </c>
      <c r="H283" s="43" t="s">
        <v>21</v>
      </c>
      <c r="I283" s="43" t="s">
        <v>22</v>
      </c>
      <c r="J283" s="43" t="s">
        <v>7</v>
      </c>
    </row>
    <row r="284" spans="1:10" ht="21" customHeight="1">
      <c r="A284" s="154" t="s">
        <v>38</v>
      </c>
      <c r="B284" s="155" t="s">
        <v>529</v>
      </c>
      <c r="C284" s="154" t="s">
        <v>66</v>
      </c>
      <c r="D284" s="154" t="s">
        <v>530</v>
      </c>
      <c r="E284" s="214" t="s">
        <v>720</v>
      </c>
      <c r="F284" s="214"/>
      <c r="G284" s="156" t="s">
        <v>507</v>
      </c>
      <c r="H284" s="157">
        <v>1</v>
      </c>
      <c r="I284" s="158">
        <v>176.14</v>
      </c>
      <c r="J284" s="158">
        <v>176.14</v>
      </c>
    </row>
    <row r="285" spans="1:10" ht="27" customHeight="1">
      <c r="A285" s="28" t="s">
        <v>47</v>
      </c>
      <c r="B285" s="29" t="s">
        <v>778</v>
      </c>
      <c r="C285" s="28" t="s">
        <v>66</v>
      </c>
      <c r="D285" s="28" t="s">
        <v>779</v>
      </c>
      <c r="E285" s="211" t="s">
        <v>720</v>
      </c>
      <c r="F285" s="211"/>
      <c r="G285" s="30" t="s">
        <v>507</v>
      </c>
      <c r="H285" s="31">
        <v>0.4</v>
      </c>
      <c r="I285" s="32">
        <v>440.35</v>
      </c>
      <c r="J285" s="32">
        <v>176.14</v>
      </c>
    </row>
    <row r="286" spans="1:10" ht="27.6">
      <c r="A286" s="26"/>
      <c r="B286" s="26"/>
      <c r="C286" s="26"/>
      <c r="D286" s="26"/>
      <c r="E286" s="161" t="s">
        <v>42</v>
      </c>
      <c r="F286" s="162">
        <v>94.52</v>
      </c>
      <c r="G286" s="26" t="s">
        <v>43</v>
      </c>
      <c r="H286" s="27">
        <v>0</v>
      </c>
      <c r="I286" s="26" t="s">
        <v>44</v>
      </c>
      <c r="J286" s="27">
        <v>94.52</v>
      </c>
    </row>
    <row r="287" spans="1:10" ht="15" customHeight="1" thickBot="1">
      <c r="A287" s="159"/>
      <c r="B287" s="159"/>
      <c r="C287" s="159"/>
      <c r="D287" s="159"/>
      <c r="E287" s="163" t="s">
        <v>45</v>
      </c>
      <c r="F287" s="164">
        <v>50.76</v>
      </c>
      <c r="G287" s="159"/>
      <c r="H287" s="213" t="s">
        <v>46</v>
      </c>
      <c r="I287" s="213"/>
      <c r="J287" s="160">
        <v>226.89999999999998</v>
      </c>
    </row>
    <row r="288" spans="1:10" ht="18" customHeight="1" thickTop="1">
      <c r="A288" s="42" t="s">
        <v>627</v>
      </c>
      <c r="B288" s="43" t="s">
        <v>18</v>
      </c>
      <c r="C288" s="42" t="s">
        <v>19</v>
      </c>
      <c r="D288" s="42" t="s">
        <v>6</v>
      </c>
      <c r="E288" s="212" t="s">
        <v>37</v>
      </c>
      <c r="F288" s="212"/>
      <c r="G288" s="44" t="s">
        <v>20</v>
      </c>
      <c r="H288" s="43" t="s">
        <v>21</v>
      </c>
      <c r="I288" s="43" t="s">
        <v>22</v>
      </c>
      <c r="J288" s="43" t="s">
        <v>7</v>
      </c>
    </row>
    <row r="289" spans="1:10" ht="27" customHeight="1">
      <c r="A289" s="154" t="s">
        <v>38</v>
      </c>
      <c r="B289" s="155" t="s">
        <v>534</v>
      </c>
      <c r="C289" s="154" t="s">
        <v>29</v>
      </c>
      <c r="D289" s="154" t="s">
        <v>535</v>
      </c>
      <c r="E289" s="214" t="s">
        <v>713</v>
      </c>
      <c r="F289" s="214"/>
      <c r="G289" s="156" t="s">
        <v>33</v>
      </c>
      <c r="H289" s="157">
        <v>1</v>
      </c>
      <c r="I289" s="158">
        <v>8.3000000000000007</v>
      </c>
      <c r="J289" s="158">
        <v>8.3000000000000007</v>
      </c>
    </row>
    <row r="290" spans="1:10" ht="27" customHeight="1">
      <c r="A290" s="28" t="s">
        <v>47</v>
      </c>
      <c r="B290" s="29" t="s">
        <v>48</v>
      </c>
      <c r="C290" s="28" t="s">
        <v>29</v>
      </c>
      <c r="D290" s="28" t="s">
        <v>49</v>
      </c>
      <c r="E290" s="211" t="s">
        <v>50</v>
      </c>
      <c r="F290" s="211"/>
      <c r="G290" s="30" t="s">
        <v>51</v>
      </c>
      <c r="H290" s="31">
        <v>0.29859999999999998</v>
      </c>
      <c r="I290" s="32">
        <v>19.48</v>
      </c>
      <c r="J290" s="32">
        <v>5.81</v>
      </c>
    </row>
    <row r="291" spans="1:10" ht="27" customHeight="1">
      <c r="A291" s="28" t="s">
        <v>47</v>
      </c>
      <c r="B291" s="29" t="s">
        <v>101</v>
      </c>
      <c r="C291" s="28" t="s">
        <v>29</v>
      </c>
      <c r="D291" s="28" t="s">
        <v>102</v>
      </c>
      <c r="E291" s="211" t="s">
        <v>50</v>
      </c>
      <c r="F291" s="211"/>
      <c r="G291" s="30" t="s">
        <v>51</v>
      </c>
      <c r="H291" s="31">
        <v>0.1056</v>
      </c>
      <c r="I291" s="32">
        <v>23.63</v>
      </c>
      <c r="J291" s="32">
        <v>2.4900000000000002</v>
      </c>
    </row>
    <row r="292" spans="1:10" ht="27.6">
      <c r="A292" s="26"/>
      <c r="B292" s="26"/>
      <c r="C292" s="26"/>
      <c r="D292" s="26"/>
      <c r="E292" s="161" t="s">
        <v>42</v>
      </c>
      <c r="F292" s="162">
        <v>5.51</v>
      </c>
      <c r="G292" s="26" t="s">
        <v>43</v>
      </c>
      <c r="H292" s="27">
        <v>0</v>
      </c>
      <c r="I292" s="26" t="s">
        <v>44</v>
      </c>
      <c r="J292" s="27">
        <v>5.51</v>
      </c>
    </row>
    <row r="293" spans="1:10" ht="15" customHeight="1" thickBot="1">
      <c r="A293" s="159"/>
      <c r="B293" s="159"/>
      <c r="C293" s="159"/>
      <c r="D293" s="159"/>
      <c r="E293" s="163" t="s">
        <v>45</v>
      </c>
      <c r="F293" s="164">
        <v>2.39</v>
      </c>
      <c r="G293" s="159"/>
      <c r="H293" s="213" t="s">
        <v>46</v>
      </c>
      <c r="I293" s="213"/>
      <c r="J293" s="160">
        <v>10.690000000000001</v>
      </c>
    </row>
    <row r="294" spans="1:10" ht="18" customHeight="1" thickTop="1">
      <c r="A294" s="42" t="s">
        <v>628</v>
      </c>
      <c r="B294" s="43" t="s">
        <v>18</v>
      </c>
      <c r="C294" s="42" t="s">
        <v>19</v>
      </c>
      <c r="D294" s="42" t="s">
        <v>6</v>
      </c>
      <c r="E294" s="212" t="s">
        <v>37</v>
      </c>
      <c r="F294" s="212"/>
      <c r="G294" s="44" t="s">
        <v>20</v>
      </c>
      <c r="H294" s="43" t="s">
        <v>21</v>
      </c>
      <c r="I294" s="43" t="s">
        <v>22</v>
      </c>
      <c r="J294" s="43" t="s">
        <v>7</v>
      </c>
    </row>
    <row r="295" spans="1:10" ht="27" customHeight="1">
      <c r="A295" s="154" t="s">
        <v>38</v>
      </c>
      <c r="B295" s="155" t="s">
        <v>309</v>
      </c>
      <c r="C295" s="154" t="s">
        <v>29</v>
      </c>
      <c r="D295" s="154" t="s">
        <v>352</v>
      </c>
      <c r="E295" s="214" t="s">
        <v>98</v>
      </c>
      <c r="F295" s="214"/>
      <c r="G295" s="156" t="s">
        <v>33</v>
      </c>
      <c r="H295" s="157">
        <v>1</v>
      </c>
      <c r="I295" s="158">
        <v>476.91</v>
      </c>
      <c r="J295" s="158">
        <v>476.91</v>
      </c>
    </row>
    <row r="296" spans="1:10" ht="27" customHeight="1">
      <c r="A296" s="28" t="s">
        <v>47</v>
      </c>
      <c r="B296" s="29" t="s">
        <v>48</v>
      </c>
      <c r="C296" s="28" t="s">
        <v>29</v>
      </c>
      <c r="D296" s="28" t="s">
        <v>49</v>
      </c>
      <c r="E296" s="211" t="s">
        <v>50</v>
      </c>
      <c r="F296" s="211"/>
      <c r="G296" s="30" t="s">
        <v>51</v>
      </c>
      <c r="H296" s="31">
        <v>0.43840000000000001</v>
      </c>
      <c r="I296" s="32">
        <v>19.48</v>
      </c>
      <c r="J296" s="32">
        <v>8.5399999999999991</v>
      </c>
    </row>
    <row r="297" spans="1:10" ht="27" customHeight="1">
      <c r="A297" s="28" t="s">
        <v>47</v>
      </c>
      <c r="B297" s="29" t="s">
        <v>101</v>
      </c>
      <c r="C297" s="28" t="s">
        <v>29</v>
      </c>
      <c r="D297" s="28" t="s">
        <v>102</v>
      </c>
      <c r="E297" s="211" t="s">
        <v>50</v>
      </c>
      <c r="F297" s="211"/>
      <c r="G297" s="30" t="s">
        <v>51</v>
      </c>
      <c r="H297" s="31">
        <v>0.77910000000000001</v>
      </c>
      <c r="I297" s="32">
        <v>23.63</v>
      </c>
      <c r="J297" s="32">
        <v>18.41</v>
      </c>
    </row>
    <row r="298" spans="1:10" ht="27" customHeight="1">
      <c r="A298" s="21" t="s">
        <v>40</v>
      </c>
      <c r="B298" s="22" t="s">
        <v>780</v>
      </c>
      <c r="C298" s="21" t="s">
        <v>29</v>
      </c>
      <c r="D298" s="21" t="s">
        <v>781</v>
      </c>
      <c r="E298" s="210" t="s">
        <v>41</v>
      </c>
      <c r="F298" s="210"/>
      <c r="G298" s="23" t="s">
        <v>33</v>
      </c>
      <c r="H298" s="24">
        <v>2</v>
      </c>
      <c r="I298" s="25">
        <v>26.22</v>
      </c>
      <c r="J298" s="25">
        <v>52.44</v>
      </c>
    </row>
    <row r="299" spans="1:10" ht="27" customHeight="1">
      <c r="A299" s="21" t="s">
        <v>40</v>
      </c>
      <c r="B299" s="22" t="s">
        <v>782</v>
      </c>
      <c r="C299" s="21" t="s">
        <v>29</v>
      </c>
      <c r="D299" s="21" t="s">
        <v>783</v>
      </c>
      <c r="E299" s="210" t="s">
        <v>41</v>
      </c>
      <c r="F299" s="210"/>
      <c r="G299" s="23" t="s">
        <v>33</v>
      </c>
      <c r="H299" s="24">
        <v>1</v>
      </c>
      <c r="I299" s="25">
        <v>374.72</v>
      </c>
      <c r="J299" s="25">
        <v>374.72</v>
      </c>
    </row>
    <row r="300" spans="1:10" ht="21" customHeight="1">
      <c r="A300" s="21" t="s">
        <v>40</v>
      </c>
      <c r="B300" s="22" t="s">
        <v>336</v>
      </c>
      <c r="C300" s="21" t="s">
        <v>29</v>
      </c>
      <c r="D300" s="21" t="s">
        <v>784</v>
      </c>
      <c r="E300" s="210" t="s">
        <v>41</v>
      </c>
      <c r="F300" s="210"/>
      <c r="G300" s="23" t="s">
        <v>54</v>
      </c>
      <c r="H300" s="24">
        <v>8.8099999999999998E-2</v>
      </c>
      <c r="I300" s="25">
        <v>107.74</v>
      </c>
      <c r="J300" s="25">
        <v>9.49</v>
      </c>
    </row>
    <row r="301" spans="1:10" ht="21" customHeight="1">
      <c r="A301" s="21" t="s">
        <v>40</v>
      </c>
      <c r="B301" s="22" t="s">
        <v>785</v>
      </c>
      <c r="C301" s="21" t="s">
        <v>29</v>
      </c>
      <c r="D301" s="21" t="s">
        <v>786</v>
      </c>
      <c r="E301" s="210" t="s">
        <v>41</v>
      </c>
      <c r="F301" s="210"/>
      <c r="G301" s="23" t="s">
        <v>33</v>
      </c>
      <c r="H301" s="24">
        <v>1</v>
      </c>
      <c r="I301" s="25">
        <v>13.31</v>
      </c>
      <c r="J301" s="25">
        <v>13.31</v>
      </c>
    </row>
    <row r="302" spans="1:10" ht="27.6">
      <c r="A302" s="26"/>
      <c r="B302" s="26"/>
      <c r="C302" s="26"/>
      <c r="D302" s="26"/>
      <c r="E302" s="161" t="s">
        <v>42</v>
      </c>
      <c r="F302" s="162">
        <v>18.78</v>
      </c>
      <c r="G302" s="26" t="s">
        <v>43</v>
      </c>
      <c r="H302" s="27">
        <v>0</v>
      </c>
      <c r="I302" s="26" t="s">
        <v>44</v>
      </c>
      <c r="J302" s="27">
        <v>18.78</v>
      </c>
    </row>
    <row r="303" spans="1:10" ht="15" customHeight="1" thickBot="1">
      <c r="A303" s="159"/>
      <c r="B303" s="159"/>
      <c r="C303" s="159"/>
      <c r="D303" s="159"/>
      <c r="E303" s="163" t="s">
        <v>45</v>
      </c>
      <c r="F303" s="164">
        <v>137.44</v>
      </c>
      <c r="G303" s="159"/>
      <c r="H303" s="213" t="s">
        <v>46</v>
      </c>
      <c r="I303" s="213"/>
      <c r="J303" s="160">
        <v>614.35</v>
      </c>
    </row>
    <row r="304" spans="1:10" ht="18" customHeight="1" thickTop="1">
      <c r="A304" s="42" t="s">
        <v>629</v>
      </c>
      <c r="B304" s="43" t="s">
        <v>18</v>
      </c>
      <c r="C304" s="42" t="s">
        <v>19</v>
      </c>
      <c r="D304" s="42" t="s">
        <v>6</v>
      </c>
      <c r="E304" s="212" t="s">
        <v>37</v>
      </c>
      <c r="F304" s="212"/>
      <c r="G304" s="44" t="s">
        <v>20</v>
      </c>
      <c r="H304" s="43" t="s">
        <v>21</v>
      </c>
      <c r="I304" s="43" t="s">
        <v>22</v>
      </c>
      <c r="J304" s="43" t="s">
        <v>7</v>
      </c>
    </row>
    <row r="305" spans="1:10" ht="27" customHeight="1">
      <c r="A305" s="154" t="s">
        <v>38</v>
      </c>
      <c r="B305" s="155" t="s">
        <v>537</v>
      </c>
      <c r="C305" s="154" t="s">
        <v>29</v>
      </c>
      <c r="D305" s="154" t="s">
        <v>538</v>
      </c>
      <c r="E305" s="214" t="s">
        <v>98</v>
      </c>
      <c r="F305" s="214"/>
      <c r="G305" s="156" t="s">
        <v>33</v>
      </c>
      <c r="H305" s="157">
        <v>1</v>
      </c>
      <c r="I305" s="158">
        <v>727.29000000000008</v>
      </c>
      <c r="J305" s="158">
        <v>727.29</v>
      </c>
    </row>
    <row r="306" spans="1:10" ht="27" customHeight="1">
      <c r="A306" s="28" t="s">
        <v>47</v>
      </c>
      <c r="B306" s="29" t="s">
        <v>787</v>
      </c>
      <c r="C306" s="28" t="s">
        <v>29</v>
      </c>
      <c r="D306" s="28" t="s">
        <v>788</v>
      </c>
      <c r="E306" s="211" t="s">
        <v>98</v>
      </c>
      <c r="F306" s="211"/>
      <c r="G306" s="30" t="s">
        <v>33</v>
      </c>
      <c r="H306" s="31">
        <v>1</v>
      </c>
      <c r="I306" s="32">
        <v>44.59</v>
      </c>
      <c r="J306" s="32">
        <v>44.59</v>
      </c>
    </row>
    <row r="307" spans="1:10" ht="27" customHeight="1">
      <c r="A307" s="28" t="s">
        <v>47</v>
      </c>
      <c r="B307" s="29" t="s">
        <v>425</v>
      </c>
      <c r="C307" s="28" t="s">
        <v>29</v>
      </c>
      <c r="D307" s="28" t="s">
        <v>426</v>
      </c>
      <c r="E307" s="211" t="s">
        <v>98</v>
      </c>
      <c r="F307" s="211"/>
      <c r="G307" s="30" t="s">
        <v>33</v>
      </c>
      <c r="H307" s="31">
        <v>1</v>
      </c>
      <c r="I307" s="32">
        <v>167.61</v>
      </c>
      <c r="J307" s="32">
        <v>167.61</v>
      </c>
    </row>
    <row r="308" spans="1:10" ht="27" customHeight="1">
      <c r="A308" s="28" t="s">
        <v>47</v>
      </c>
      <c r="B308" s="29" t="s">
        <v>789</v>
      </c>
      <c r="C308" s="28" t="s">
        <v>29</v>
      </c>
      <c r="D308" s="28" t="s">
        <v>790</v>
      </c>
      <c r="E308" s="211" t="s">
        <v>98</v>
      </c>
      <c r="F308" s="211"/>
      <c r="G308" s="30" t="s">
        <v>33</v>
      </c>
      <c r="H308" s="31">
        <v>1</v>
      </c>
      <c r="I308" s="32">
        <v>352.24</v>
      </c>
      <c r="J308" s="32">
        <v>352.24</v>
      </c>
    </row>
    <row r="309" spans="1:10" ht="27" customHeight="1">
      <c r="A309" s="28" t="s">
        <v>47</v>
      </c>
      <c r="B309" s="29" t="s">
        <v>427</v>
      </c>
      <c r="C309" s="28" t="s">
        <v>29</v>
      </c>
      <c r="D309" s="28" t="s">
        <v>539</v>
      </c>
      <c r="E309" s="211" t="s">
        <v>98</v>
      </c>
      <c r="F309" s="211"/>
      <c r="G309" s="30" t="s">
        <v>33</v>
      </c>
      <c r="H309" s="31">
        <v>1</v>
      </c>
      <c r="I309" s="32">
        <v>107.4</v>
      </c>
      <c r="J309" s="32">
        <v>107.4</v>
      </c>
    </row>
    <row r="310" spans="1:10" ht="27" customHeight="1">
      <c r="A310" s="28" t="s">
        <v>47</v>
      </c>
      <c r="B310" s="29" t="s">
        <v>419</v>
      </c>
      <c r="C310" s="28" t="s">
        <v>29</v>
      </c>
      <c r="D310" s="28" t="s">
        <v>420</v>
      </c>
      <c r="E310" s="211" t="s">
        <v>98</v>
      </c>
      <c r="F310" s="211"/>
      <c r="G310" s="30" t="s">
        <v>33</v>
      </c>
      <c r="H310" s="31">
        <v>1</v>
      </c>
      <c r="I310" s="32">
        <v>55.45</v>
      </c>
      <c r="J310" s="32">
        <v>55.45</v>
      </c>
    </row>
    <row r="311" spans="1:10" ht="27.6">
      <c r="A311" s="26"/>
      <c r="B311" s="26"/>
      <c r="C311" s="26"/>
      <c r="D311" s="26"/>
      <c r="E311" s="161" t="s">
        <v>42</v>
      </c>
      <c r="F311" s="162">
        <v>47.84</v>
      </c>
      <c r="G311" s="26" t="s">
        <v>43</v>
      </c>
      <c r="H311" s="27">
        <v>0</v>
      </c>
      <c r="I311" s="26" t="s">
        <v>44</v>
      </c>
      <c r="J311" s="27">
        <v>47.84</v>
      </c>
    </row>
    <row r="312" spans="1:10" ht="15" customHeight="1" thickBot="1">
      <c r="A312" s="159"/>
      <c r="B312" s="159"/>
      <c r="C312" s="159"/>
      <c r="D312" s="159"/>
      <c r="E312" s="163" t="s">
        <v>45</v>
      </c>
      <c r="F312" s="164">
        <v>209.6</v>
      </c>
      <c r="G312" s="159"/>
      <c r="H312" s="213" t="s">
        <v>46</v>
      </c>
      <c r="I312" s="213"/>
      <c r="J312" s="160">
        <v>936.89</v>
      </c>
    </row>
    <row r="313" spans="1:10" ht="18" customHeight="1" thickTop="1">
      <c r="A313" s="42" t="s">
        <v>630</v>
      </c>
      <c r="B313" s="43" t="s">
        <v>18</v>
      </c>
      <c r="C313" s="42" t="s">
        <v>19</v>
      </c>
      <c r="D313" s="42" t="s">
        <v>6</v>
      </c>
      <c r="E313" s="212" t="s">
        <v>37</v>
      </c>
      <c r="F313" s="212"/>
      <c r="G313" s="44" t="s">
        <v>20</v>
      </c>
      <c r="H313" s="43" t="s">
        <v>21</v>
      </c>
      <c r="I313" s="43" t="s">
        <v>22</v>
      </c>
      <c r="J313" s="43" t="s">
        <v>7</v>
      </c>
    </row>
    <row r="314" spans="1:10" ht="27" customHeight="1">
      <c r="A314" s="154" t="s">
        <v>38</v>
      </c>
      <c r="B314" s="155" t="s">
        <v>427</v>
      </c>
      <c r="C314" s="154" t="s">
        <v>29</v>
      </c>
      <c r="D314" s="154" t="s">
        <v>539</v>
      </c>
      <c r="E314" s="214" t="s">
        <v>98</v>
      </c>
      <c r="F314" s="214"/>
      <c r="G314" s="156" t="s">
        <v>33</v>
      </c>
      <c r="H314" s="157">
        <v>1</v>
      </c>
      <c r="I314" s="158">
        <v>107.39999999999999</v>
      </c>
      <c r="J314" s="158">
        <v>107.4</v>
      </c>
    </row>
    <row r="315" spans="1:10" ht="27" customHeight="1">
      <c r="A315" s="28" t="s">
        <v>47</v>
      </c>
      <c r="B315" s="29" t="s">
        <v>48</v>
      </c>
      <c r="C315" s="28" t="s">
        <v>29</v>
      </c>
      <c r="D315" s="28" t="s">
        <v>49</v>
      </c>
      <c r="E315" s="211" t="s">
        <v>50</v>
      </c>
      <c r="F315" s="211"/>
      <c r="G315" s="30" t="s">
        <v>51</v>
      </c>
      <c r="H315" s="31">
        <v>3.0300000000000001E-2</v>
      </c>
      <c r="I315" s="32">
        <v>19.48</v>
      </c>
      <c r="J315" s="32">
        <v>0.59</v>
      </c>
    </row>
    <row r="316" spans="1:10" ht="27" customHeight="1">
      <c r="A316" s="28" t="s">
        <v>47</v>
      </c>
      <c r="B316" s="29" t="s">
        <v>101</v>
      </c>
      <c r="C316" s="28" t="s">
        <v>29</v>
      </c>
      <c r="D316" s="28" t="s">
        <v>102</v>
      </c>
      <c r="E316" s="211" t="s">
        <v>50</v>
      </c>
      <c r="F316" s="211"/>
      <c r="G316" s="30" t="s">
        <v>51</v>
      </c>
      <c r="H316" s="31">
        <v>9.6000000000000002E-2</v>
      </c>
      <c r="I316" s="32">
        <v>23.63</v>
      </c>
      <c r="J316" s="32">
        <v>2.2599999999999998</v>
      </c>
    </row>
    <row r="317" spans="1:10" ht="21" customHeight="1">
      <c r="A317" s="21" t="s">
        <v>40</v>
      </c>
      <c r="B317" s="22" t="s">
        <v>103</v>
      </c>
      <c r="C317" s="21" t="s">
        <v>29</v>
      </c>
      <c r="D317" s="21" t="s">
        <v>104</v>
      </c>
      <c r="E317" s="210" t="s">
        <v>41</v>
      </c>
      <c r="F317" s="210"/>
      <c r="G317" s="23" t="s">
        <v>33</v>
      </c>
      <c r="H317" s="24">
        <v>2.1000000000000001E-2</v>
      </c>
      <c r="I317" s="25">
        <v>3.11</v>
      </c>
      <c r="J317" s="25">
        <v>0.06</v>
      </c>
    </row>
    <row r="318" spans="1:10" ht="27" customHeight="1">
      <c r="A318" s="21" t="s">
        <v>40</v>
      </c>
      <c r="B318" s="22" t="s">
        <v>428</v>
      </c>
      <c r="C318" s="21" t="s">
        <v>29</v>
      </c>
      <c r="D318" s="21" t="s">
        <v>791</v>
      </c>
      <c r="E318" s="210" t="s">
        <v>41</v>
      </c>
      <c r="F318" s="210"/>
      <c r="G318" s="23" t="s">
        <v>33</v>
      </c>
      <c r="H318" s="24">
        <v>1</v>
      </c>
      <c r="I318" s="25">
        <v>104.49</v>
      </c>
      <c r="J318" s="25">
        <v>104.49</v>
      </c>
    </row>
    <row r="319" spans="1:10" ht="27.6">
      <c r="A319" s="26"/>
      <c r="B319" s="26"/>
      <c r="C319" s="26"/>
      <c r="D319" s="26"/>
      <c r="E319" s="161" t="s">
        <v>42</v>
      </c>
      <c r="F319" s="162">
        <v>2.0099999999999998</v>
      </c>
      <c r="G319" s="26" t="s">
        <v>43</v>
      </c>
      <c r="H319" s="27">
        <v>0</v>
      </c>
      <c r="I319" s="26" t="s">
        <v>44</v>
      </c>
      <c r="J319" s="27">
        <v>2.0099999999999998</v>
      </c>
    </row>
    <row r="320" spans="1:10" ht="15" customHeight="1" thickBot="1">
      <c r="A320" s="159"/>
      <c r="B320" s="159"/>
      <c r="C320" s="159"/>
      <c r="D320" s="159"/>
      <c r="E320" s="163" t="s">
        <v>45</v>
      </c>
      <c r="F320" s="164">
        <v>30.95</v>
      </c>
      <c r="G320" s="159"/>
      <c r="H320" s="213" t="s">
        <v>46</v>
      </c>
      <c r="I320" s="213"/>
      <c r="J320" s="160">
        <v>138.35</v>
      </c>
    </row>
    <row r="321" spans="1:10" ht="18" customHeight="1" thickTop="1">
      <c r="A321" s="42" t="s">
        <v>631</v>
      </c>
      <c r="B321" s="43" t="s">
        <v>18</v>
      </c>
      <c r="C321" s="42" t="s">
        <v>19</v>
      </c>
      <c r="D321" s="42" t="s">
        <v>6</v>
      </c>
      <c r="E321" s="212" t="s">
        <v>37</v>
      </c>
      <c r="F321" s="212"/>
      <c r="G321" s="44" t="s">
        <v>20</v>
      </c>
      <c r="H321" s="43" t="s">
        <v>21</v>
      </c>
      <c r="I321" s="43" t="s">
        <v>22</v>
      </c>
      <c r="J321" s="43" t="s">
        <v>7</v>
      </c>
    </row>
    <row r="322" spans="1:10" ht="27" customHeight="1">
      <c r="A322" s="154" t="s">
        <v>38</v>
      </c>
      <c r="B322" s="155" t="s">
        <v>540</v>
      </c>
      <c r="C322" s="154" t="s">
        <v>29</v>
      </c>
      <c r="D322" s="154" t="s">
        <v>541</v>
      </c>
      <c r="E322" s="214" t="s">
        <v>98</v>
      </c>
      <c r="F322" s="214"/>
      <c r="G322" s="156" t="s">
        <v>33</v>
      </c>
      <c r="H322" s="157">
        <v>1</v>
      </c>
      <c r="I322" s="158">
        <v>96.1</v>
      </c>
      <c r="J322" s="158">
        <v>96.1</v>
      </c>
    </row>
    <row r="323" spans="1:10" ht="27" customHeight="1">
      <c r="A323" s="28" t="s">
        <v>47</v>
      </c>
      <c r="B323" s="29" t="s">
        <v>101</v>
      </c>
      <c r="C323" s="28" t="s">
        <v>29</v>
      </c>
      <c r="D323" s="28" t="s">
        <v>102</v>
      </c>
      <c r="E323" s="211" t="s">
        <v>50</v>
      </c>
      <c r="F323" s="211"/>
      <c r="G323" s="30" t="s">
        <v>51</v>
      </c>
      <c r="H323" s="31">
        <v>0.1164</v>
      </c>
      <c r="I323" s="32">
        <v>23.63</v>
      </c>
      <c r="J323" s="32">
        <v>2.75</v>
      </c>
    </row>
    <row r="324" spans="1:10" ht="27" customHeight="1">
      <c r="A324" s="28" t="s">
        <v>47</v>
      </c>
      <c r="B324" s="29" t="s">
        <v>48</v>
      </c>
      <c r="C324" s="28" t="s">
        <v>29</v>
      </c>
      <c r="D324" s="28" t="s">
        <v>49</v>
      </c>
      <c r="E324" s="211" t="s">
        <v>50</v>
      </c>
      <c r="F324" s="211"/>
      <c r="G324" s="30" t="s">
        <v>51</v>
      </c>
      <c r="H324" s="31">
        <v>3.6700000000000003E-2</v>
      </c>
      <c r="I324" s="32">
        <v>19.48</v>
      </c>
      <c r="J324" s="32">
        <v>0.71</v>
      </c>
    </row>
    <row r="325" spans="1:10" ht="27" customHeight="1">
      <c r="A325" s="21" t="s">
        <v>40</v>
      </c>
      <c r="B325" s="22" t="s">
        <v>792</v>
      </c>
      <c r="C325" s="21" t="s">
        <v>29</v>
      </c>
      <c r="D325" s="21" t="s">
        <v>793</v>
      </c>
      <c r="E325" s="210" t="s">
        <v>41</v>
      </c>
      <c r="F325" s="210"/>
      <c r="G325" s="23" t="s">
        <v>33</v>
      </c>
      <c r="H325" s="24">
        <v>1</v>
      </c>
      <c r="I325" s="25">
        <v>92.58</v>
      </c>
      <c r="J325" s="25">
        <v>92.58</v>
      </c>
    </row>
    <row r="326" spans="1:10" ht="21" customHeight="1">
      <c r="A326" s="21" t="s">
        <v>40</v>
      </c>
      <c r="B326" s="22" t="s">
        <v>103</v>
      </c>
      <c r="C326" s="21" t="s">
        <v>29</v>
      </c>
      <c r="D326" s="21" t="s">
        <v>104</v>
      </c>
      <c r="E326" s="210" t="s">
        <v>41</v>
      </c>
      <c r="F326" s="210"/>
      <c r="G326" s="23" t="s">
        <v>33</v>
      </c>
      <c r="H326" s="24">
        <v>2.1000000000000001E-2</v>
      </c>
      <c r="I326" s="25">
        <v>3.11</v>
      </c>
      <c r="J326" s="25">
        <v>0.06</v>
      </c>
    </row>
    <row r="327" spans="1:10" ht="27.6">
      <c r="A327" s="26"/>
      <c r="B327" s="26"/>
      <c r="C327" s="26"/>
      <c r="D327" s="26"/>
      <c r="E327" s="161" t="s">
        <v>42</v>
      </c>
      <c r="F327" s="162">
        <v>2.44</v>
      </c>
      <c r="G327" s="26" t="s">
        <v>43</v>
      </c>
      <c r="H327" s="27">
        <v>0</v>
      </c>
      <c r="I327" s="26" t="s">
        <v>44</v>
      </c>
      <c r="J327" s="27">
        <v>2.44</v>
      </c>
    </row>
    <row r="328" spans="1:10" ht="15" customHeight="1" thickBot="1">
      <c r="A328" s="159"/>
      <c r="B328" s="159"/>
      <c r="C328" s="159"/>
      <c r="D328" s="159"/>
      <c r="E328" s="163" t="s">
        <v>45</v>
      </c>
      <c r="F328" s="164">
        <v>27.69</v>
      </c>
      <c r="G328" s="159"/>
      <c r="H328" s="213" t="s">
        <v>46</v>
      </c>
      <c r="I328" s="213"/>
      <c r="J328" s="160">
        <v>123.78999999999999</v>
      </c>
    </row>
    <row r="329" spans="1:10" ht="18" customHeight="1" thickTop="1">
      <c r="A329" s="42" t="s">
        <v>632</v>
      </c>
      <c r="B329" s="43" t="s">
        <v>18</v>
      </c>
      <c r="C329" s="42" t="s">
        <v>19</v>
      </c>
      <c r="D329" s="42" t="s">
        <v>6</v>
      </c>
      <c r="E329" s="212" t="s">
        <v>37</v>
      </c>
      <c r="F329" s="212"/>
      <c r="G329" s="44" t="s">
        <v>20</v>
      </c>
      <c r="H329" s="43" t="s">
        <v>21</v>
      </c>
      <c r="I329" s="43" t="s">
        <v>22</v>
      </c>
      <c r="J329" s="43" t="s">
        <v>7</v>
      </c>
    </row>
    <row r="330" spans="1:10" ht="27" customHeight="1">
      <c r="A330" s="154" t="s">
        <v>38</v>
      </c>
      <c r="B330" s="155" t="s">
        <v>423</v>
      </c>
      <c r="C330" s="154" t="s">
        <v>29</v>
      </c>
      <c r="D330" s="154" t="s">
        <v>424</v>
      </c>
      <c r="E330" s="214" t="s">
        <v>98</v>
      </c>
      <c r="F330" s="214"/>
      <c r="G330" s="156" t="s">
        <v>33</v>
      </c>
      <c r="H330" s="157">
        <v>1</v>
      </c>
      <c r="I330" s="158">
        <v>74.210000000000008</v>
      </c>
      <c r="J330" s="158">
        <v>74.209999999999994</v>
      </c>
    </row>
    <row r="331" spans="1:10" ht="27" customHeight="1">
      <c r="A331" s="28" t="s">
        <v>47</v>
      </c>
      <c r="B331" s="29" t="s">
        <v>48</v>
      </c>
      <c r="C331" s="28" t="s">
        <v>29</v>
      </c>
      <c r="D331" s="28" t="s">
        <v>49</v>
      </c>
      <c r="E331" s="211" t="s">
        <v>50</v>
      </c>
      <c r="F331" s="211"/>
      <c r="G331" s="30" t="s">
        <v>51</v>
      </c>
      <c r="H331" s="31">
        <v>4.8099999999999997E-2</v>
      </c>
      <c r="I331" s="32">
        <v>19.48</v>
      </c>
      <c r="J331" s="32">
        <v>0.93</v>
      </c>
    </row>
    <row r="332" spans="1:10" ht="27" customHeight="1">
      <c r="A332" s="28" t="s">
        <v>47</v>
      </c>
      <c r="B332" s="29" t="s">
        <v>101</v>
      </c>
      <c r="C332" s="28" t="s">
        <v>29</v>
      </c>
      <c r="D332" s="28" t="s">
        <v>102</v>
      </c>
      <c r="E332" s="211" t="s">
        <v>50</v>
      </c>
      <c r="F332" s="211"/>
      <c r="G332" s="30" t="s">
        <v>51</v>
      </c>
      <c r="H332" s="31">
        <v>0.1525</v>
      </c>
      <c r="I332" s="32">
        <v>23.63</v>
      </c>
      <c r="J332" s="32">
        <v>3.6</v>
      </c>
    </row>
    <row r="333" spans="1:10" ht="21" customHeight="1">
      <c r="A333" s="21" t="s">
        <v>40</v>
      </c>
      <c r="B333" s="22" t="s">
        <v>103</v>
      </c>
      <c r="C333" s="21" t="s">
        <v>29</v>
      </c>
      <c r="D333" s="21" t="s">
        <v>104</v>
      </c>
      <c r="E333" s="210" t="s">
        <v>41</v>
      </c>
      <c r="F333" s="210"/>
      <c r="G333" s="23" t="s">
        <v>33</v>
      </c>
      <c r="H333" s="24">
        <v>2.1000000000000001E-2</v>
      </c>
      <c r="I333" s="25">
        <v>3.11</v>
      </c>
      <c r="J333" s="25">
        <v>0.06</v>
      </c>
    </row>
    <row r="334" spans="1:10" ht="27" customHeight="1">
      <c r="A334" s="21" t="s">
        <v>40</v>
      </c>
      <c r="B334" s="22" t="s">
        <v>794</v>
      </c>
      <c r="C334" s="21" t="s">
        <v>29</v>
      </c>
      <c r="D334" s="21" t="s">
        <v>795</v>
      </c>
      <c r="E334" s="210" t="s">
        <v>41</v>
      </c>
      <c r="F334" s="210"/>
      <c r="G334" s="23" t="s">
        <v>33</v>
      </c>
      <c r="H334" s="24">
        <v>1</v>
      </c>
      <c r="I334" s="25">
        <v>69.62</v>
      </c>
      <c r="J334" s="25">
        <v>69.62</v>
      </c>
    </row>
    <row r="335" spans="1:10" ht="27.6">
      <c r="A335" s="26"/>
      <c r="B335" s="26"/>
      <c r="C335" s="26"/>
      <c r="D335" s="26"/>
      <c r="E335" s="161" t="s">
        <v>42</v>
      </c>
      <c r="F335" s="162">
        <v>3.2</v>
      </c>
      <c r="G335" s="26" t="s">
        <v>43</v>
      </c>
      <c r="H335" s="27">
        <v>0</v>
      </c>
      <c r="I335" s="26" t="s">
        <v>44</v>
      </c>
      <c r="J335" s="27">
        <v>3.2</v>
      </c>
    </row>
    <row r="336" spans="1:10" ht="15" customHeight="1" thickBot="1">
      <c r="A336" s="159"/>
      <c r="B336" s="159"/>
      <c r="C336" s="159"/>
      <c r="D336" s="159"/>
      <c r="E336" s="163" t="s">
        <v>45</v>
      </c>
      <c r="F336" s="164">
        <v>21.38</v>
      </c>
      <c r="G336" s="159"/>
      <c r="H336" s="213" t="s">
        <v>46</v>
      </c>
      <c r="I336" s="213"/>
      <c r="J336" s="160">
        <v>95.589999999999989</v>
      </c>
    </row>
    <row r="337" spans="1:10" ht="18" customHeight="1" thickTop="1">
      <c r="A337" s="42" t="s">
        <v>633</v>
      </c>
      <c r="B337" s="43" t="s">
        <v>18</v>
      </c>
      <c r="C337" s="42" t="s">
        <v>19</v>
      </c>
      <c r="D337" s="42" t="s">
        <v>6</v>
      </c>
      <c r="E337" s="212" t="s">
        <v>37</v>
      </c>
      <c r="F337" s="212"/>
      <c r="G337" s="44" t="s">
        <v>20</v>
      </c>
      <c r="H337" s="43" t="s">
        <v>21</v>
      </c>
      <c r="I337" s="43" t="s">
        <v>22</v>
      </c>
      <c r="J337" s="43" t="s">
        <v>7</v>
      </c>
    </row>
    <row r="338" spans="1:10" ht="27" customHeight="1">
      <c r="A338" s="154" t="s">
        <v>38</v>
      </c>
      <c r="B338" s="155" t="s">
        <v>542</v>
      </c>
      <c r="C338" s="154" t="s">
        <v>29</v>
      </c>
      <c r="D338" s="154" t="s">
        <v>543</v>
      </c>
      <c r="E338" s="214" t="s">
        <v>98</v>
      </c>
      <c r="F338" s="214"/>
      <c r="G338" s="156" t="s">
        <v>33</v>
      </c>
      <c r="H338" s="157">
        <v>1</v>
      </c>
      <c r="I338" s="158">
        <v>373.05</v>
      </c>
      <c r="J338" s="158">
        <v>373.05</v>
      </c>
    </row>
    <row r="339" spans="1:10" ht="27" customHeight="1">
      <c r="A339" s="28" t="s">
        <v>47</v>
      </c>
      <c r="B339" s="29" t="s">
        <v>48</v>
      </c>
      <c r="C339" s="28" t="s">
        <v>29</v>
      </c>
      <c r="D339" s="28" t="s">
        <v>49</v>
      </c>
      <c r="E339" s="211" t="s">
        <v>50</v>
      </c>
      <c r="F339" s="211"/>
      <c r="G339" s="30" t="s">
        <v>51</v>
      </c>
      <c r="H339" s="31">
        <v>0.29880000000000001</v>
      </c>
      <c r="I339" s="32">
        <v>19.48</v>
      </c>
      <c r="J339" s="32">
        <v>5.82</v>
      </c>
    </row>
    <row r="340" spans="1:10" ht="27" customHeight="1">
      <c r="A340" s="28" t="s">
        <v>47</v>
      </c>
      <c r="B340" s="29" t="s">
        <v>101</v>
      </c>
      <c r="C340" s="28" t="s">
        <v>29</v>
      </c>
      <c r="D340" s="28" t="s">
        <v>102</v>
      </c>
      <c r="E340" s="211" t="s">
        <v>50</v>
      </c>
      <c r="F340" s="211"/>
      <c r="G340" s="30" t="s">
        <v>51</v>
      </c>
      <c r="H340" s="31">
        <v>0.94850000000000001</v>
      </c>
      <c r="I340" s="32">
        <v>23.63</v>
      </c>
      <c r="J340" s="32">
        <v>22.41</v>
      </c>
    </row>
    <row r="341" spans="1:10" ht="27" customHeight="1">
      <c r="A341" s="21" t="s">
        <v>40</v>
      </c>
      <c r="B341" s="22" t="s">
        <v>796</v>
      </c>
      <c r="C341" s="21" t="s">
        <v>29</v>
      </c>
      <c r="D341" s="21" t="s">
        <v>797</v>
      </c>
      <c r="E341" s="210" t="s">
        <v>41</v>
      </c>
      <c r="F341" s="210"/>
      <c r="G341" s="23" t="s">
        <v>33</v>
      </c>
      <c r="H341" s="24">
        <v>1</v>
      </c>
      <c r="I341" s="25">
        <v>228.18</v>
      </c>
      <c r="J341" s="25">
        <v>228.18</v>
      </c>
    </row>
    <row r="342" spans="1:10" ht="27" customHeight="1">
      <c r="A342" s="21" t="s">
        <v>40</v>
      </c>
      <c r="B342" s="22" t="s">
        <v>258</v>
      </c>
      <c r="C342" s="21" t="s">
        <v>29</v>
      </c>
      <c r="D342" s="21" t="s">
        <v>259</v>
      </c>
      <c r="E342" s="210" t="s">
        <v>41</v>
      </c>
      <c r="F342" s="210"/>
      <c r="G342" s="23" t="s">
        <v>33</v>
      </c>
      <c r="H342" s="24">
        <v>6</v>
      </c>
      <c r="I342" s="25">
        <v>19.440000000000001</v>
      </c>
      <c r="J342" s="25">
        <v>116.64</v>
      </c>
    </row>
    <row r="343" spans="1:10" ht="27.6">
      <c r="A343" s="26"/>
      <c r="B343" s="26"/>
      <c r="C343" s="26"/>
      <c r="D343" s="26"/>
      <c r="E343" s="161" t="s">
        <v>42</v>
      </c>
      <c r="F343" s="162">
        <v>19.95</v>
      </c>
      <c r="G343" s="26" t="s">
        <v>43</v>
      </c>
      <c r="H343" s="27">
        <v>0</v>
      </c>
      <c r="I343" s="26" t="s">
        <v>44</v>
      </c>
      <c r="J343" s="27">
        <v>19.95</v>
      </c>
    </row>
    <row r="344" spans="1:10" ht="15" customHeight="1" thickBot="1">
      <c r="A344" s="159"/>
      <c r="B344" s="159"/>
      <c r="C344" s="159"/>
      <c r="D344" s="159"/>
      <c r="E344" s="163" t="s">
        <v>45</v>
      </c>
      <c r="F344" s="164">
        <v>107.51</v>
      </c>
      <c r="G344" s="159"/>
      <c r="H344" s="213" t="s">
        <v>46</v>
      </c>
      <c r="I344" s="213"/>
      <c r="J344" s="160">
        <v>480.56</v>
      </c>
    </row>
    <row r="345" spans="1:10" ht="18" customHeight="1" thickTop="1">
      <c r="A345" s="42" t="s">
        <v>634</v>
      </c>
      <c r="B345" s="43" t="s">
        <v>18</v>
      </c>
      <c r="C345" s="42" t="s">
        <v>19</v>
      </c>
      <c r="D345" s="42" t="s">
        <v>6</v>
      </c>
      <c r="E345" s="212" t="s">
        <v>37</v>
      </c>
      <c r="F345" s="212"/>
      <c r="G345" s="44" t="s">
        <v>20</v>
      </c>
      <c r="H345" s="43" t="s">
        <v>21</v>
      </c>
      <c r="I345" s="43" t="s">
        <v>22</v>
      </c>
      <c r="J345" s="43" t="s">
        <v>7</v>
      </c>
    </row>
    <row r="346" spans="1:10" ht="27" customHeight="1">
      <c r="A346" s="154" t="s">
        <v>38</v>
      </c>
      <c r="B346" s="155" t="s">
        <v>421</v>
      </c>
      <c r="C346" s="154" t="s">
        <v>29</v>
      </c>
      <c r="D346" s="154" t="s">
        <v>422</v>
      </c>
      <c r="E346" s="214" t="s">
        <v>98</v>
      </c>
      <c r="F346" s="214"/>
      <c r="G346" s="156" t="s">
        <v>33</v>
      </c>
      <c r="H346" s="157">
        <v>1</v>
      </c>
      <c r="I346" s="158">
        <v>12.45</v>
      </c>
      <c r="J346" s="158">
        <v>12.45</v>
      </c>
    </row>
    <row r="347" spans="1:10" ht="27" customHeight="1">
      <c r="A347" s="28" t="s">
        <v>47</v>
      </c>
      <c r="B347" s="29" t="s">
        <v>48</v>
      </c>
      <c r="C347" s="28" t="s">
        <v>29</v>
      </c>
      <c r="D347" s="28" t="s">
        <v>49</v>
      </c>
      <c r="E347" s="211" t="s">
        <v>50</v>
      </c>
      <c r="F347" s="211"/>
      <c r="G347" s="30" t="s">
        <v>51</v>
      </c>
      <c r="H347" s="31">
        <v>2.6599999999999999E-2</v>
      </c>
      <c r="I347" s="32">
        <v>19.48</v>
      </c>
      <c r="J347" s="32">
        <v>0.51</v>
      </c>
    </row>
    <row r="348" spans="1:10" ht="27" customHeight="1">
      <c r="A348" s="28" t="s">
        <v>47</v>
      </c>
      <c r="B348" s="29" t="s">
        <v>101</v>
      </c>
      <c r="C348" s="28" t="s">
        <v>29</v>
      </c>
      <c r="D348" s="28" t="s">
        <v>102</v>
      </c>
      <c r="E348" s="211" t="s">
        <v>50</v>
      </c>
      <c r="F348" s="211"/>
      <c r="G348" s="30" t="s">
        <v>51</v>
      </c>
      <c r="H348" s="31">
        <v>8.4500000000000006E-2</v>
      </c>
      <c r="I348" s="32">
        <v>23.63</v>
      </c>
      <c r="J348" s="32">
        <v>1.99</v>
      </c>
    </row>
    <row r="349" spans="1:10" ht="27" customHeight="1">
      <c r="A349" s="21" t="s">
        <v>40</v>
      </c>
      <c r="B349" s="22" t="s">
        <v>798</v>
      </c>
      <c r="C349" s="21" t="s">
        <v>29</v>
      </c>
      <c r="D349" s="21" t="s">
        <v>799</v>
      </c>
      <c r="E349" s="210" t="s">
        <v>41</v>
      </c>
      <c r="F349" s="210"/>
      <c r="G349" s="23" t="s">
        <v>33</v>
      </c>
      <c r="H349" s="24">
        <v>1</v>
      </c>
      <c r="I349" s="25">
        <v>9.85</v>
      </c>
      <c r="J349" s="25">
        <v>9.85</v>
      </c>
    </row>
    <row r="350" spans="1:10" ht="21" customHeight="1">
      <c r="A350" s="21" t="s">
        <v>40</v>
      </c>
      <c r="B350" s="22" t="s">
        <v>103</v>
      </c>
      <c r="C350" s="21" t="s">
        <v>29</v>
      </c>
      <c r="D350" s="21" t="s">
        <v>104</v>
      </c>
      <c r="E350" s="210" t="s">
        <v>41</v>
      </c>
      <c r="F350" s="210"/>
      <c r="G350" s="23" t="s">
        <v>33</v>
      </c>
      <c r="H350" s="24">
        <v>3.32E-2</v>
      </c>
      <c r="I350" s="25">
        <v>3.11</v>
      </c>
      <c r="J350" s="25">
        <v>0.1</v>
      </c>
    </row>
    <row r="351" spans="1:10" ht="27.6">
      <c r="A351" s="26"/>
      <c r="B351" s="26"/>
      <c r="C351" s="26"/>
      <c r="D351" s="26"/>
      <c r="E351" s="161" t="s">
        <v>42</v>
      </c>
      <c r="F351" s="162">
        <v>1.77</v>
      </c>
      <c r="G351" s="26" t="s">
        <v>43</v>
      </c>
      <c r="H351" s="27">
        <v>0</v>
      </c>
      <c r="I351" s="26" t="s">
        <v>44</v>
      </c>
      <c r="J351" s="27">
        <v>1.77</v>
      </c>
    </row>
    <row r="352" spans="1:10" ht="15" customHeight="1" thickBot="1">
      <c r="A352" s="159"/>
      <c r="B352" s="159"/>
      <c r="C352" s="159"/>
      <c r="D352" s="159"/>
      <c r="E352" s="163" t="s">
        <v>45</v>
      </c>
      <c r="F352" s="164">
        <v>3.58</v>
      </c>
      <c r="G352" s="159"/>
      <c r="H352" s="213" t="s">
        <v>46</v>
      </c>
      <c r="I352" s="213"/>
      <c r="J352" s="160">
        <v>16.03</v>
      </c>
    </row>
    <row r="353" spans="1:10" ht="18" customHeight="1" thickTop="1">
      <c r="A353" s="42" t="s">
        <v>635</v>
      </c>
      <c r="B353" s="43" t="s">
        <v>18</v>
      </c>
      <c r="C353" s="42" t="s">
        <v>19</v>
      </c>
      <c r="D353" s="42" t="s">
        <v>6</v>
      </c>
      <c r="E353" s="212" t="s">
        <v>37</v>
      </c>
      <c r="F353" s="212"/>
      <c r="G353" s="44" t="s">
        <v>20</v>
      </c>
      <c r="H353" s="43" t="s">
        <v>21</v>
      </c>
      <c r="I353" s="43" t="s">
        <v>22</v>
      </c>
      <c r="J353" s="43" t="s">
        <v>7</v>
      </c>
    </row>
    <row r="354" spans="1:10" ht="27" customHeight="1">
      <c r="A354" s="154" t="s">
        <v>38</v>
      </c>
      <c r="B354" s="155" t="s">
        <v>405</v>
      </c>
      <c r="C354" s="154" t="s">
        <v>29</v>
      </c>
      <c r="D354" s="154" t="s">
        <v>544</v>
      </c>
      <c r="E354" s="214" t="s">
        <v>98</v>
      </c>
      <c r="F354" s="214"/>
      <c r="G354" s="156" t="s">
        <v>33</v>
      </c>
      <c r="H354" s="157">
        <v>1</v>
      </c>
      <c r="I354" s="158">
        <v>49.79</v>
      </c>
      <c r="J354" s="158">
        <v>49.79</v>
      </c>
    </row>
    <row r="355" spans="1:10" ht="27" customHeight="1">
      <c r="A355" s="28" t="s">
        <v>47</v>
      </c>
      <c r="B355" s="29" t="s">
        <v>99</v>
      </c>
      <c r="C355" s="28" t="s">
        <v>29</v>
      </c>
      <c r="D355" s="28" t="s">
        <v>100</v>
      </c>
      <c r="E355" s="211" t="s">
        <v>50</v>
      </c>
      <c r="F355" s="211"/>
      <c r="G355" s="30" t="s">
        <v>51</v>
      </c>
      <c r="H355" s="31">
        <v>0.3987</v>
      </c>
      <c r="I355" s="32">
        <v>19.37</v>
      </c>
      <c r="J355" s="32">
        <v>7.72</v>
      </c>
    </row>
    <row r="356" spans="1:10" ht="27" customHeight="1">
      <c r="A356" s="28" t="s">
        <v>47</v>
      </c>
      <c r="B356" s="29" t="s">
        <v>101</v>
      </c>
      <c r="C356" s="28" t="s">
        <v>29</v>
      </c>
      <c r="D356" s="28" t="s">
        <v>102</v>
      </c>
      <c r="E356" s="211" t="s">
        <v>50</v>
      </c>
      <c r="F356" s="211"/>
      <c r="G356" s="30" t="s">
        <v>51</v>
      </c>
      <c r="H356" s="31">
        <v>0.3987</v>
      </c>
      <c r="I356" s="32">
        <v>23.63</v>
      </c>
      <c r="J356" s="32">
        <v>9.42</v>
      </c>
    </row>
    <row r="357" spans="1:10" ht="21" customHeight="1">
      <c r="A357" s="21" t="s">
        <v>40</v>
      </c>
      <c r="B357" s="22" t="s">
        <v>332</v>
      </c>
      <c r="C357" s="21" t="s">
        <v>29</v>
      </c>
      <c r="D357" s="21" t="s">
        <v>800</v>
      </c>
      <c r="E357" s="210" t="s">
        <v>41</v>
      </c>
      <c r="F357" s="210"/>
      <c r="G357" s="23" t="s">
        <v>33</v>
      </c>
      <c r="H357" s="24">
        <v>2.92E-2</v>
      </c>
      <c r="I357" s="25">
        <v>62.83</v>
      </c>
      <c r="J357" s="25">
        <v>1.83</v>
      </c>
    </row>
    <row r="358" spans="1:10" ht="21" customHeight="1">
      <c r="A358" s="21" t="s">
        <v>40</v>
      </c>
      <c r="B358" s="22" t="s">
        <v>330</v>
      </c>
      <c r="C358" s="21" t="s">
        <v>29</v>
      </c>
      <c r="D358" s="21" t="s">
        <v>331</v>
      </c>
      <c r="E358" s="210" t="s">
        <v>41</v>
      </c>
      <c r="F358" s="210"/>
      <c r="G358" s="23" t="s">
        <v>33</v>
      </c>
      <c r="H358" s="24">
        <v>1.54E-2</v>
      </c>
      <c r="I358" s="25">
        <v>1.64</v>
      </c>
      <c r="J358" s="25">
        <v>0.02</v>
      </c>
    </row>
    <row r="359" spans="1:10" ht="21" customHeight="1">
      <c r="A359" s="21" t="s">
        <v>40</v>
      </c>
      <c r="B359" s="22" t="s">
        <v>406</v>
      </c>
      <c r="C359" s="21" t="s">
        <v>29</v>
      </c>
      <c r="D359" s="21" t="s">
        <v>801</v>
      </c>
      <c r="E359" s="210" t="s">
        <v>41</v>
      </c>
      <c r="F359" s="210"/>
      <c r="G359" s="23" t="s">
        <v>33</v>
      </c>
      <c r="H359" s="24">
        <v>1</v>
      </c>
      <c r="I359" s="25">
        <v>27.67</v>
      </c>
      <c r="J359" s="25">
        <v>27.67</v>
      </c>
    </row>
    <row r="360" spans="1:10" ht="21" customHeight="1">
      <c r="A360" s="21" t="s">
        <v>40</v>
      </c>
      <c r="B360" s="22" t="s">
        <v>333</v>
      </c>
      <c r="C360" s="21" t="s">
        <v>29</v>
      </c>
      <c r="D360" s="21" t="s">
        <v>802</v>
      </c>
      <c r="E360" s="210" t="s">
        <v>41</v>
      </c>
      <c r="F360" s="210"/>
      <c r="G360" s="23" t="s">
        <v>33</v>
      </c>
      <c r="H360" s="24">
        <v>4.3999999999999997E-2</v>
      </c>
      <c r="I360" s="25">
        <v>71.2</v>
      </c>
      <c r="J360" s="25">
        <v>3.13</v>
      </c>
    </row>
    <row r="361" spans="1:10" ht="27.6">
      <c r="A361" s="26"/>
      <c r="B361" s="26"/>
      <c r="C361" s="26"/>
      <c r="D361" s="26"/>
      <c r="E361" s="161" t="s">
        <v>42</v>
      </c>
      <c r="F361" s="162">
        <v>11.93</v>
      </c>
      <c r="G361" s="26" t="s">
        <v>43</v>
      </c>
      <c r="H361" s="27">
        <v>0</v>
      </c>
      <c r="I361" s="26" t="s">
        <v>44</v>
      </c>
      <c r="J361" s="27">
        <v>11.93</v>
      </c>
    </row>
    <row r="362" spans="1:10" ht="15" customHeight="1" thickBot="1">
      <c r="A362" s="159"/>
      <c r="B362" s="159"/>
      <c r="C362" s="159"/>
      <c r="D362" s="159"/>
      <c r="E362" s="163" t="s">
        <v>45</v>
      </c>
      <c r="F362" s="164">
        <v>14.34</v>
      </c>
      <c r="G362" s="159"/>
      <c r="H362" s="213" t="s">
        <v>46</v>
      </c>
      <c r="I362" s="213"/>
      <c r="J362" s="160">
        <v>64.13</v>
      </c>
    </row>
    <row r="363" spans="1:10" ht="18" customHeight="1" thickTop="1">
      <c r="A363" s="42" t="s">
        <v>636</v>
      </c>
      <c r="B363" s="43" t="s">
        <v>18</v>
      </c>
      <c r="C363" s="42" t="s">
        <v>19</v>
      </c>
      <c r="D363" s="42" t="s">
        <v>6</v>
      </c>
      <c r="E363" s="212" t="s">
        <v>37</v>
      </c>
      <c r="F363" s="212"/>
      <c r="G363" s="44" t="s">
        <v>20</v>
      </c>
      <c r="H363" s="43" t="s">
        <v>21</v>
      </c>
      <c r="I363" s="43" t="s">
        <v>22</v>
      </c>
      <c r="J363" s="43" t="s">
        <v>7</v>
      </c>
    </row>
    <row r="364" spans="1:10" ht="27" customHeight="1">
      <c r="A364" s="154" t="s">
        <v>38</v>
      </c>
      <c r="B364" s="155" t="s">
        <v>545</v>
      </c>
      <c r="C364" s="154" t="s">
        <v>29</v>
      </c>
      <c r="D364" s="154" t="s">
        <v>546</v>
      </c>
      <c r="E364" s="214" t="s">
        <v>98</v>
      </c>
      <c r="F364" s="214"/>
      <c r="G364" s="156" t="s">
        <v>33</v>
      </c>
      <c r="H364" s="157">
        <v>1</v>
      </c>
      <c r="I364" s="158">
        <v>311.88</v>
      </c>
      <c r="J364" s="158">
        <v>311.88</v>
      </c>
    </row>
    <row r="365" spans="1:10" ht="27" customHeight="1">
      <c r="A365" s="28" t="s">
        <v>47</v>
      </c>
      <c r="B365" s="29" t="s">
        <v>101</v>
      </c>
      <c r="C365" s="28" t="s">
        <v>29</v>
      </c>
      <c r="D365" s="28" t="s">
        <v>102</v>
      </c>
      <c r="E365" s="211" t="s">
        <v>50</v>
      </c>
      <c r="F365" s="211"/>
      <c r="G365" s="30" t="s">
        <v>51</v>
      </c>
      <c r="H365" s="31">
        <v>0.8024</v>
      </c>
      <c r="I365" s="32">
        <v>23.63</v>
      </c>
      <c r="J365" s="32">
        <v>18.96</v>
      </c>
    </row>
    <row r="366" spans="1:10" ht="27" customHeight="1">
      <c r="A366" s="28" t="s">
        <v>47</v>
      </c>
      <c r="B366" s="29" t="s">
        <v>99</v>
      </c>
      <c r="C366" s="28" t="s">
        <v>29</v>
      </c>
      <c r="D366" s="28" t="s">
        <v>100</v>
      </c>
      <c r="E366" s="211" t="s">
        <v>50</v>
      </c>
      <c r="F366" s="211"/>
      <c r="G366" s="30" t="s">
        <v>51</v>
      </c>
      <c r="H366" s="31">
        <v>0.8024</v>
      </c>
      <c r="I366" s="32">
        <v>19.37</v>
      </c>
      <c r="J366" s="32">
        <v>15.54</v>
      </c>
    </row>
    <row r="367" spans="1:10" ht="21" customHeight="1">
      <c r="A367" s="21" t="s">
        <v>40</v>
      </c>
      <c r="B367" s="22" t="s">
        <v>803</v>
      </c>
      <c r="C367" s="21" t="s">
        <v>29</v>
      </c>
      <c r="D367" s="21" t="s">
        <v>804</v>
      </c>
      <c r="E367" s="210" t="s">
        <v>41</v>
      </c>
      <c r="F367" s="210"/>
      <c r="G367" s="23" t="s">
        <v>33</v>
      </c>
      <c r="H367" s="24">
        <v>1</v>
      </c>
      <c r="I367" s="25">
        <v>277.19</v>
      </c>
      <c r="J367" s="25">
        <v>277.19</v>
      </c>
    </row>
    <row r="368" spans="1:10" ht="21" customHeight="1">
      <c r="A368" s="21" t="s">
        <v>40</v>
      </c>
      <c r="B368" s="22" t="s">
        <v>334</v>
      </c>
      <c r="C368" s="21" t="s">
        <v>29</v>
      </c>
      <c r="D368" s="21" t="s">
        <v>335</v>
      </c>
      <c r="E368" s="210" t="s">
        <v>41</v>
      </c>
      <c r="F368" s="210"/>
      <c r="G368" s="23" t="s">
        <v>33</v>
      </c>
      <c r="H368" s="24">
        <v>1.6799999999999999E-2</v>
      </c>
      <c r="I368" s="25">
        <v>11.49</v>
      </c>
      <c r="J368" s="25">
        <v>0.19</v>
      </c>
    </row>
    <row r="369" spans="1:10" ht="27.6">
      <c r="A369" s="26"/>
      <c r="B369" s="26"/>
      <c r="C369" s="26"/>
      <c r="D369" s="26"/>
      <c r="E369" s="161" t="s">
        <v>42</v>
      </c>
      <c r="F369" s="162">
        <v>24.03</v>
      </c>
      <c r="G369" s="26" t="s">
        <v>43</v>
      </c>
      <c r="H369" s="27">
        <v>0</v>
      </c>
      <c r="I369" s="26" t="s">
        <v>44</v>
      </c>
      <c r="J369" s="27">
        <v>24.03</v>
      </c>
    </row>
    <row r="370" spans="1:10" ht="15" customHeight="1" thickBot="1">
      <c r="A370" s="159"/>
      <c r="B370" s="159"/>
      <c r="C370" s="159"/>
      <c r="D370" s="159"/>
      <c r="E370" s="163" t="s">
        <v>45</v>
      </c>
      <c r="F370" s="164">
        <v>89.88</v>
      </c>
      <c r="G370" s="159"/>
      <c r="H370" s="213" t="s">
        <v>46</v>
      </c>
      <c r="I370" s="213"/>
      <c r="J370" s="160">
        <v>401.76</v>
      </c>
    </row>
    <row r="371" spans="1:10" ht="18" customHeight="1" thickTop="1">
      <c r="A371" s="42" t="s">
        <v>638</v>
      </c>
      <c r="B371" s="43" t="s">
        <v>18</v>
      </c>
      <c r="C371" s="42" t="s">
        <v>19</v>
      </c>
      <c r="D371" s="42" t="s">
        <v>6</v>
      </c>
      <c r="E371" s="212" t="s">
        <v>37</v>
      </c>
      <c r="F371" s="212"/>
      <c r="G371" s="44" t="s">
        <v>20</v>
      </c>
      <c r="H371" s="43" t="s">
        <v>21</v>
      </c>
      <c r="I371" s="43" t="s">
        <v>22</v>
      </c>
      <c r="J371" s="43" t="s">
        <v>7</v>
      </c>
    </row>
    <row r="372" spans="1:10" ht="27" customHeight="1">
      <c r="A372" s="154" t="s">
        <v>38</v>
      </c>
      <c r="B372" s="155" t="s">
        <v>549</v>
      </c>
      <c r="C372" s="154" t="s">
        <v>29</v>
      </c>
      <c r="D372" s="154" t="s">
        <v>550</v>
      </c>
      <c r="E372" s="214" t="s">
        <v>98</v>
      </c>
      <c r="F372" s="214"/>
      <c r="G372" s="156" t="s">
        <v>33</v>
      </c>
      <c r="H372" s="157">
        <v>1</v>
      </c>
      <c r="I372" s="158">
        <v>808.63999999999976</v>
      </c>
      <c r="J372" s="158">
        <v>808.64</v>
      </c>
    </row>
    <row r="373" spans="1:10" ht="27" customHeight="1">
      <c r="A373" s="28" t="s">
        <v>47</v>
      </c>
      <c r="B373" s="29" t="s">
        <v>52</v>
      </c>
      <c r="C373" s="28" t="s">
        <v>29</v>
      </c>
      <c r="D373" s="28" t="s">
        <v>53</v>
      </c>
      <c r="E373" s="211" t="s">
        <v>50</v>
      </c>
      <c r="F373" s="211"/>
      <c r="G373" s="30" t="s">
        <v>51</v>
      </c>
      <c r="H373" s="31">
        <v>6.8139000000000003</v>
      </c>
      <c r="I373" s="32">
        <v>24.36</v>
      </c>
      <c r="J373" s="32">
        <v>165.98</v>
      </c>
    </row>
    <row r="374" spans="1:10" ht="27" customHeight="1">
      <c r="A374" s="28" t="s">
        <v>47</v>
      </c>
      <c r="B374" s="29" t="s">
        <v>805</v>
      </c>
      <c r="C374" s="28" t="s">
        <v>29</v>
      </c>
      <c r="D374" s="28" t="s">
        <v>806</v>
      </c>
      <c r="E374" s="211" t="s">
        <v>72</v>
      </c>
      <c r="F374" s="211"/>
      <c r="G374" s="30" t="s">
        <v>27</v>
      </c>
      <c r="H374" s="31">
        <v>1.21</v>
      </c>
      <c r="I374" s="32">
        <v>5.66</v>
      </c>
      <c r="J374" s="32">
        <v>6.84</v>
      </c>
    </row>
    <row r="375" spans="1:10" ht="54" customHeight="1">
      <c r="A375" s="28" t="s">
        <v>47</v>
      </c>
      <c r="B375" s="29" t="s">
        <v>411</v>
      </c>
      <c r="C375" s="28" t="s">
        <v>29</v>
      </c>
      <c r="D375" s="28" t="s">
        <v>412</v>
      </c>
      <c r="E375" s="211" t="s">
        <v>57</v>
      </c>
      <c r="F375" s="211"/>
      <c r="G375" s="30" t="s">
        <v>59</v>
      </c>
      <c r="H375" s="31">
        <v>2.76E-2</v>
      </c>
      <c r="I375" s="32">
        <v>63.76</v>
      </c>
      <c r="J375" s="32">
        <v>1.75</v>
      </c>
    </row>
    <row r="376" spans="1:10" ht="27" customHeight="1">
      <c r="A376" s="28" t="s">
        <v>47</v>
      </c>
      <c r="B376" s="29" t="s">
        <v>413</v>
      </c>
      <c r="C376" s="28" t="s">
        <v>29</v>
      </c>
      <c r="D376" s="28" t="s">
        <v>414</v>
      </c>
      <c r="E376" s="211" t="s">
        <v>55</v>
      </c>
      <c r="F376" s="211"/>
      <c r="G376" s="30" t="s">
        <v>31</v>
      </c>
      <c r="H376" s="31">
        <v>7.0000000000000007E-2</v>
      </c>
      <c r="I376" s="32">
        <v>2494.71</v>
      </c>
      <c r="J376" s="32">
        <v>174.62</v>
      </c>
    </row>
    <row r="377" spans="1:10" ht="54" customHeight="1">
      <c r="A377" s="28" t="s">
        <v>47</v>
      </c>
      <c r="B377" s="29" t="s">
        <v>409</v>
      </c>
      <c r="C377" s="28" t="s">
        <v>29</v>
      </c>
      <c r="D377" s="28" t="s">
        <v>410</v>
      </c>
      <c r="E377" s="211" t="s">
        <v>57</v>
      </c>
      <c r="F377" s="211"/>
      <c r="G377" s="30" t="s">
        <v>58</v>
      </c>
      <c r="H377" s="31">
        <v>1.3599999999999999E-2</v>
      </c>
      <c r="I377" s="32">
        <v>156.80000000000001</v>
      </c>
      <c r="J377" s="32">
        <v>2.13</v>
      </c>
    </row>
    <row r="378" spans="1:10" ht="27" customHeight="1">
      <c r="A378" s="28" t="s">
        <v>47</v>
      </c>
      <c r="B378" s="29" t="s">
        <v>248</v>
      </c>
      <c r="C378" s="28" t="s">
        <v>29</v>
      </c>
      <c r="D378" s="28" t="s">
        <v>807</v>
      </c>
      <c r="E378" s="211" t="s">
        <v>55</v>
      </c>
      <c r="F378" s="211"/>
      <c r="G378" s="30" t="s">
        <v>31</v>
      </c>
      <c r="H378" s="31">
        <v>0.1163</v>
      </c>
      <c r="I378" s="32">
        <v>631.53</v>
      </c>
      <c r="J378" s="32">
        <v>73.44</v>
      </c>
    </row>
    <row r="379" spans="1:10" ht="27" customHeight="1">
      <c r="A379" s="28" t="s">
        <v>47</v>
      </c>
      <c r="B379" s="29" t="s">
        <v>407</v>
      </c>
      <c r="C379" s="28" t="s">
        <v>29</v>
      </c>
      <c r="D379" s="28" t="s">
        <v>408</v>
      </c>
      <c r="E379" s="211" t="s">
        <v>50</v>
      </c>
      <c r="F379" s="211"/>
      <c r="G379" s="30" t="s">
        <v>31</v>
      </c>
      <c r="H379" s="31">
        <v>0.1585</v>
      </c>
      <c r="I379" s="32">
        <v>894.63</v>
      </c>
      <c r="J379" s="32">
        <v>141.79</v>
      </c>
    </row>
    <row r="380" spans="1:10" ht="27" customHeight="1">
      <c r="A380" s="28" t="s">
        <v>47</v>
      </c>
      <c r="B380" s="29" t="s">
        <v>415</v>
      </c>
      <c r="C380" s="28" t="s">
        <v>29</v>
      </c>
      <c r="D380" s="28" t="s">
        <v>416</v>
      </c>
      <c r="E380" s="211" t="s">
        <v>50</v>
      </c>
      <c r="F380" s="211"/>
      <c r="G380" s="30" t="s">
        <v>31</v>
      </c>
      <c r="H380" s="31">
        <v>1.9599999999999999E-2</v>
      </c>
      <c r="I380" s="32">
        <v>589.33000000000004</v>
      </c>
      <c r="J380" s="32">
        <v>11.55</v>
      </c>
    </row>
    <row r="381" spans="1:10" ht="27" customHeight="1">
      <c r="A381" s="28" t="s">
        <v>47</v>
      </c>
      <c r="B381" s="29" t="s">
        <v>48</v>
      </c>
      <c r="C381" s="28" t="s">
        <v>29</v>
      </c>
      <c r="D381" s="28" t="s">
        <v>49</v>
      </c>
      <c r="E381" s="211" t="s">
        <v>50</v>
      </c>
      <c r="F381" s="211"/>
      <c r="G381" s="30" t="s">
        <v>51</v>
      </c>
      <c r="H381" s="31">
        <v>5.3537999999999997</v>
      </c>
      <c r="I381" s="32">
        <v>19.48</v>
      </c>
      <c r="J381" s="32">
        <v>104.29</v>
      </c>
    </row>
    <row r="382" spans="1:10" ht="21" customHeight="1">
      <c r="A382" s="21" t="s">
        <v>40</v>
      </c>
      <c r="B382" s="22" t="s">
        <v>253</v>
      </c>
      <c r="C382" s="21" t="s">
        <v>29</v>
      </c>
      <c r="D382" s="21" t="s">
        <v>808</v>
      </c>
      <c r="E382" s="210" t="s">
        <v>41</v>
      </c>
      <c r="F382" s="210"/>
      <c r="G382" s="23" t="s">
        <v>32</v>
      </c>
      <c r="H382" s="24">
        <v>0.17599999999999999</v>
      </c>
      <c r="I382" s="25">
        <v>3.76</v>
      </c>
      <c r="J382" s="25">
        <v>0.66</v>
      </c>
    </row>
    <row r="383" spans="1:10" ht="21" customHeight="1">
      <c r="A383" s="21" t="s">
        <v>40</v>
      </c>
      <c r="B383" s="22" t="s">
        <v>257</v>
      </c>
      <c r="C383" s="21" t="s">
        <v>29</v>
      </c>
      <c r="D383" s="21" t="s">
        <v>809</v>
      </c>
      <c r="E383" s="210" t="s">
        <v>41</v>
      </c>
      <c r="F383" s="210"/>
      <c r="G383" s="23" t="s">
        <v>33</v>
      </c>
      <c r="H383" s="24">
        <v>168.21899999999999</v>
      </c>
      <c r="I383" s="25">
        <v>0.68</v>
      </c>
      <c r="J383" s="25">
        <v>114.38</v>
      </c>
    </row>
    <row r="384" spans="1:10" ht="21" customHeight="1">
      <c r="A384" s="21" t="s">
        <v>40</v>
      </c>
      <c r="B384" s="22" t="s">
        <v>246</v>
      </c>
      <c r="C384" s="21" t="s">
        <v>29</v>
      </c>
      <c r="D384" s="21" t="s">
        <v>810</v>
      </c>
      <c r="E384" s="210" t="s">
        <v>41</v>
      </c>
      <c r="F384" s="210"/>
      <c r="G384" s="23" t="s">
        <v>32</v>
      </c>
      <c r="H384" s="24">
        <v>0.14799999999999999</v>
      </c>
      <c r="I384" s="25">
        <v>10.76</v>
      </c>
      <c r="J384" s="25">
        <v>1.59</v>
      </c>
    </row>
    <row r="385" spans="1:10" ht="21" customHeight="1">
      <c r="A385" s="21" t="s">
        <v>40</v>
      </c>
      <c r="B385" s="22" t="s">
        <v>417</v>
      </c>
      <c r="C385" s="21" t="s">
        <v>29</v>
      </c>
      <c r="D385" s="21" t="s">
        <v>418</v>
      </c>
      <c r="E385" s="210" t="s">
        <v>41</v>
      </c>
      <c r="F385" s="210"/>
      <c r="G385" s="23" t="s">
        <v>54</v>
      </c>
      <c r="H385" s="24">
        <v>1.5599999999999999E-2</v>
      </c>
      <c r="I385" s="25">
        <v>20.37</v>
      </c>
      <c r="J385" s="25">
        <v>0.31</v>
      </c>
    </row>
    <row r="386" spans="1:10" ht="27" customHeight="1">
      <c r="A386" s="21" t="s">
        <v>40</v>
      </c>
      <c r="B386" s="22" t="s">
        <v>244</v>
      </c>
      <c r="C386" s="21" t="s">
        <v>29</v>
      </c>
      <c r="D386" s="21" t="s">
        <v>245</v>
      </c>
      <c r="E386" s="210" t="s">
        <v>41</v>
      </c>
      <c r="F386" s="210"/>
      <c r="G386" s="23" t="s">
        <v>76</v>
      </c>
      <c r="H386" s="24">
        <v>6.7999999999999996E-3</v>
      </c>
      <c r="I386" s="25">
        <v>7.88</v>
      </c>
      <c r="J386" s="25">
        <v>0.05</v>
      </c>
    </row>
    <row r="387" spans="1:10" ht="27" customHeight="1">
      <c r="A387" s="21" t="s">
        <v>40</v>
      </c>
      <c r="B387" s="22" t="s">
        <v>243</v>
      </c>
      <c r="C387" s="21" t="s">
        <v>29</v>
      </c>
      <c r="D387" s="21" t="s">
        <v>811</v>
      </c>
      <c r="E387" s="210" t="s">
        <v>41</v>
      </c>
      <c r="F387" s="210"/>
      <c r="G387" s="23" t="s">
        <v>32</v>
      </c>
      <c r="H387" s="24">
        <v>0.55200000000000005</v>
      </c>
      <c r="I387" s="25">
        <v>16.78</v>
      </c>
      <c r="J387" s="25">
        <v>9.26</v>
      </c>
    </row>
    <row r="388" spans="1:10" ht="27.6">
      <c r="A388" s="26"/>
      <c r="B388" s="26"/>
      <c r="C388" s="26"/>
      <c r="D388" s="26"/>
      <c r="E388" s="161" t="s">
        <v>42</v>
      </c>
      <c r="F388" s="162">
        <v>268.94</v>
      </c>
      <c r="G388" s="26" t="s">
        <v>43</v>
      </c>
      <c r="H388" s="27">
        <v>0</v>
      </c>
      <c r="I388" s="26" t="s">
        <v>44</v>
      </c>
      <c r="J388" s="27">
        <v>268.94</v>
      </c>
    </row>
    <row r="389" spans="1:10" ht="15" customHeight="1" thickBot="1">
      <c r="A389" s="159"/>
      <c r="B389" s="159"/>
      <c r="C389" s="159"/>
      <c r="D389" s="159"/>
      <c r="E389" s="163" t="s">
        <v>45</v>
      </c>
      <c r="F389" s="164">
        <v>233.05</v>
      </c>
      <c r="G389" s="159"/>
      <c r="H389" s="213" t="s">
        <v>46</v>
      </c>
      <c r="I389" s="213"/>
      <c r="J389" s="160">
        <v>1041.69</v>
      </c>
    </row>
    <row r="390" spans="1:10" ht="18" customHeight="1" thickTop="1">
      <c r="A390" s="42" t="s">
        <v>639</v>
      </c>
      <c r="B390" s="43" t="s">
        <v>18</v>
      </c>
      <c r="C390" s="42" t="s">
        <v>19</v>
      </c>
      <c r="D390" s="42" t="s">
        <v>6</v>
      </c>
      <c r="E390" s="212" t="s">
        <v>37</v>
      </c>
      <c r="F390" s="212"/>
      <c r="G390" s="44" t="s">
        <v>20</v>
      </c>
      <c r="H390" s="43" t="s">
        <v>21</v>
      </c>
      <c r="I390" s="43" t="s">
        <v>22</v>
      </c>
      <c r="J390" s="43" t="s">
        <v>7</v>
      </c>
    </row>
    <row r="391" spans="1:10" ht="27" customHeight="1">
      <c r="A391" s="154" t="s">
        <v>38</v>
      </c>
      <c r="B391" s="155" t="s">
        <v>551</v>
      </c>
      <c r="C391" s="154" t="s">
        <v>29</v>
      </c>
      <c r="D391" s="154" t="s">
        <v>552</v>
      </c>
      <c r="E391" s="214" t="s">
        <v>98</v>
      </c>
      <c r="F391" s="214"/>
      <c r="G391" s="156" t="s">
        <v>33</v>
      </c>
      <c r="H391" s="157">
        <v>1</v>
      </c>
      <c r="I391" s="158">
        <v>165.82</v>
      </c>
      <c r="J391" s="158">
        <v>165.82</v>
      </c>
    </row>
    <row r="392" spans="1:10" ht="27" customHeight="1">
      <c r="A392" s="28" t="s">
        <v>47</v>
      </c>
      <c r="B392" s="29" t="s">
        <v>52</v>
      </c>
      <c r="C392" s="28" t="s">
        <v>29</v>
      </c>
      <c r="D392" s="28" t="s">
        <v>53</v>
      </c>
      <c r="E392" s="211" t="s">
        <v>50</v>
      </c>
      <c r="F392" s="211"/>
      <c r="G392" s="30" t="s">
        <v>51</v>
      </c>
      <c r="H392" s="31">
        <v>4.1500000000000002E-2</v>
      </c>
      <c r="I392" s="32">
        <v>24.36</v>
      </c>
      <c r="J392" s="32">
        <v>1.01</v>
      </c>
    </row>
    <row r="393" spans="1:10" ht="54" customHeight="1">
      <c r="A393" s="28" t="s">
        <v>47</v>
      </c>
      <c r="B393" s="29" t="s">
        <v>409</v>
      </c>
      <c r="C393" s="28" t="s">
        <v>29</v>
      </c>
      <c r="D393" s="28" t="s">
        <v>410</v>
      </c>
      <c r="E393" s="211" t="s">
        <v>57</v>
      </c>
      <c r="F393" s="211"/>
      <c r="G393" s="30" t="s">
        <v>58</v>
      </c>
      <c r="H393" s="31">
        <v>1.55E-2</v>
      </c>
      <c r="I393" s="32">
        <v>156.80000000000001</v>
      </c>
      <c r="J393" s="32">
        <v>2.4300000000000002</v>
      </c>
    </row>
    <row r="394" spans="1:10" ht="27" customHeight="1">
      <c r="A394" s="28" t="s">
        <v>47</v>
      </c>
      <c r="B394" s="29" t="s">
        <v>381</v>
      </c>
      <c r="C394" s="28" t="s">
        <v>29</v>
      </c>
      <c r="D394" s="28" t="s">
        <v>382</v>
      </c>
      <c r="E394" s="211" t="s">
        <v>72</v>
      </c>
      <c r="F394" s="211"/>
      <c r="G394" s="30" t="s">
        <v>31</v>
      </c>
      <c r="H394" s="31">
        <v>1.9199999999999998E-2</v>
      </c>
      <c r="I394" s="32">
        <v>218.48</v>
      </c>
      <c r="J394" s="32">
        <v>4.1900000000000004</v>
      </c>
    </row>
    <row r="395" spans="1:10" ht="27" customHeight="1">
      <c r="A395" s="28" t="s">
        <v>47</v>
      </c>
      <c r="B395" s="29" t="s">
        <v>48</v>
      </c>
      <c r="C395" s="28" t="s">
        <v>29</v>
      </c>
      <c r="D395" s="28" t="s">
        <v>49</v>
      </c>
      <c r="E395" s="211" t="s">
        <v>50</v>
      </c>
      <c r="F395" s="211"/>
      <c r="G395" s="30" t="s">
        <v>51</v>
      </c>
      <c r="H395" s="31">
        <v>3.2599999999999997E-2</v>
      </c>
      <c r="I395" s="32">
        <v>19.48</v>
      </c>
      <c r="J395" s="32">
        <v>0.63</v>
      </c>
    </row>
    <row r="396" spans="1:10" ht="54" customHeight="1">
      <c r="A396" s="28" t="s">
        <v>47</v>
      </c>
      <c r="B396" s="29" t="s">
        <v>411</v>
      </c>
      <c r="C396" s="28" t="s">
        <v>29</v>
      </c>
      <c r="D396" s="28" t="s">
        <v>412</v>
      </c>
      <c r="E396" s="211" t="s">
        <v>57</v>
      </c>
      <c r="F396" s="211"/>
      <c r="G396" s="30" t="s">
        <v>59</v>
      </c>
      <c r="H396" s="31">
        <v>3.15E-2</v>
      </c>
      <c r="I396" s="32">
        <v>63.76</v>
      </c>
      <c r="J396" s="32">
        <v>2</v>
      </c>
    </row>
    <row r="397" spans="1:10" ht="27" customHeight="1">
      <c r="A397" s="21" t="s">
        <v>40</v>
      </c>
      <c r="B397" s="22" t="s">
        <v>812</v>
      </c>
      <c r="C397" s="21" t="s">
        <v>29</v>
      </c>
      <c r="D397" s="21" t="s">
        <v>813</v>
      </c>
      <c r="E397" s="210" t="s">
        <v>41</v>
      </c>
      <c r="F397" s="210"/>
      <c r="G397" s="23" t="s">
        <v>33</v>
      </c>
      <c r="H397" s="24">
        <v>1</v>
      </c>
      <c r="I397" s="25">
        <v>155.56</v>
      </c>
      <c r="J397" s="25">
        <v>155.56</v>
      </c>
    </row>
    <row r="398" spans="1:10" ht="27.6">
      <c r="A398" s="26"/>
      <c r="B398" s="26"/>
      <c r="C398" s="26"/>
      <c r="D398" s="26"/>
      <c r="E398" s="161" t="s">
        <v>42</v>
      </c>
      <c r="F398" s="162">
        <v>3.46</v>
      </c>
      <c r="G398" s="26" t="s">
        <v>43</v>
      </c>
      <c r="H398" s="27">
        <v>0</v>
      </c>
      <c r="I398" s="26" t="s">
        <v>44</v>
      </c>
      <c r="J398" s="27">
        <v>3.46</v>
      </c>
    </row>
    <row r="399" spans="1:10" ht="15" customHeight="1" thickBot="1">
      <c r="A399" s="159"/>
      <c r="B399" s="159"/>
      <c r="C399" s="159"/>
      <c r="D399" s="159"/>
      <c r="E399" s="163" t="s">
        <v>45</v>
      </c>
      <c r="F399" s="164">
        <v>47.78</v>
      </c>
      <c r="G399" s="159"/>
      <c r="H399" s="213" t="s">
        <v>46</v>
      </c>
      <c r="I399" s="213"/>
      <c r="J399" s="160">
        <v>213.6</v>
      </c>
    </row>
    <row r="400" spans="1:10" ht="18" customHeight="1" thickTop="1">
      <c r="A400" s="42" t="s">
        <v>640</v>
      </c>
      <c r="B400" s="43" t="s">
        <v>18</v>
      </c>
      <c r="C400" s="42" t="s">
        <v>19</v>
      </c>
      <c r="D400" s="42" t="s">
        <v>6</v>
      </c>
      <c r="E400" s="212" t="s">
        <v>37</v>
      </c>
      <c r="F400" s="212"/>
      <c r="G400" s="44" t="s">
        <v>20</v>
      </c>
      <c r="H400" s="43" t="s">
        <v>21</v>
      </c>
      <c r="I400" s="43" t="s">
        <v>22</v>
      </c>
      <c r="J400" s="43" t="s">
        <v>7</v>
      </c>
    </row>
    <row r="401" spans="1:10" ht="27" customHeight="1">
      <c r="A401" s="154" t="s">
        <v>38</v>
      </c>
      <c r="B401" s="155" t="s">
        <v>553</v>
      </c>
      <c r="C401" s="154" t="s">
        <v>29</v>
      </c>
      <c r="D401" s="154" t="s">
        <v>554</v>
      </c>
      <c r="E401" s="214" t="s">
        <v>98</v>
      </c>
      <c r="F401" s="214"/>
      <c r="G401" s="156" t="s">
        <v>33</v>
      </c>
      <c r="H401" s="157">
        <v>1</v>
      </c>
      <c r="I401" s="158">
        <v>1682.7300000000002</v>
      </c>
      <c r="J401" s="158">
        <v>1682.73</v>
      </c>
    </row>
    <row r="402" spans="1:10" ht="27" customHeight="1">
      <c r="A402" s="28" t="s">
        <v>47</v>
      </c>
      <c r="B402" s="29" t="s">
        <v>70</v>
      </c>
      <c r="C402" s="28" t="s">
        <v>29</v>
      </c>
      <c r="D402" s="28" t="s">
        <v>71</v>
      </c>
      <c r="E402" s="211" t="s">
        <v>50</v>
      </c>
      <c r="F402" s="211"/>
      <c r="G402" s="30" t="s">
        <v>51</v>
      </c>
      <c r="H402" s="31">
        <v>0.63300000000000001</v>
      </c>
      <c r="I402" s="32">
        <v>20.29</v>
      </c>
      <c r="J402" s="32">
        <v>12.84</v>
      </c>
    </row>
    <row r="403" spans="1:10" ht="27" customHeight="1">
      <c r="A403" s="28" t="s">
        <v>47</v>
      </c>
      <c r="B403" s="29" t="s">
        <v>68</v>
      </c>
      <c r="C403" s="28" t="s">
        <v>29</v>
      </c>
      <c r="D403" s="28" t="s">
        <v>69</v>
      </c>
      <c r="E403" s="211" t="s">
        <v>50</v>
      </c>
      <c r="F403" s="211"/>
      <c r="G403" s="30" t="s">
        <v>51</v>
      </c>
      <c r="H403" s="31">
        <v>0.63300000000000001</v>
      </c>
      <c r="I403" s="32">
        <v>24.63</v>
      </c>
      <c r="J403" s="32">
        <v>15.59</v>
      </c>
    </row>
    <row r="404" spans="1:10" ht="27" customHeight="1">
      <c r="A404" s="28" t="s">
        <v>47</v>
      </c>
      <c r="B404" s="29" t="s">
        <v>99</v>
      </c>
      <c r="C404" s="28" t="s">
        <v>29</v>
      </c>
      <c r="D404" s="28" t="s">
        <v>100</v>
      </c>
      <c r="E404" s="211" t="s">
        <v>50</v>
      </c>
      <c r="F404" s="211"/>
      <c r="G404" s="30" t="s">
        <v>51</v>
      </c>
      <c r="H404" s="31">
        <v>2.1145999999999998</v>
      </c>
      <c r="I404" s="32">
        <v>19.37</v>
      </c>
      <c r="J404" s="32">
        <v>40.950000000000003</v>
      </c>
    </row>
    <row r="405" spans="1:10" ht="27" customHeight="1">
      <c r="A405" s="28" t="s">
        <v>47</v>
      </c>
      <c r="B405" s="29" t="s">
        <v>101</v>
      </c>
      <c r="C405" s="28" t="s">
        <v>29</v>
      </c>
      <c r="D405" s="28" t="s">
        <v>102</v>
      </c>
      <c r="E405" s="211" t="s">
        <v>50</v>
      </c>
      <c r="F405" s="211"/>
      <c r="G405" s="30" t="s">
        <v>51</v>
      </c>
      <c r="H405" s="31">
        <v>2.1145999999999998</v>
      </c>
      <c r="I405" s="32">
        <v>23.63</v>
      </c>
      <c r="J405" s="32">
        <v>49.96</v>
      </c>
    </row>
    <row r="406" spans="1:10" ht="27" customHeight="1">
      <c r="A406" s="21" t="s">
        <v>40</v>
      </c>
      <c r="B406" s="22" t="s">
        <v>814</v>
      </c>
      <c r="C406" s="21" t="s">
        <v>29</v>
      </c>
      <c r="D406" s="21" t="s">
        <v>815</v>
      </c>
      <c r="E406" s="210" t="s">
        <v>41</v>
      </c>
      <c r="F406" s="210"/>
      <c r="G406" s="23" t="s">
        <v>33</v>
      </c>
      <c r="H406" s="24">
        <v>4</v>
      </c>
      <c r="I406" s="25">
        <v>1.54</v>
      </c>
      <c r="J406" s="25">
        <v>6.16</v>
      </c>
    </row>
    <row r="407" spans="1:10" ht="27" customHeight="1">
      <c r="A407" s="21" t="s">
        <v>40</v>
      </c>
      <c r="B407" s="22" t="s">
        <v>816</v>
      </c>
      <c r="C407" s="21" t="s">
        <v>29</v>
      </c>
      <c r="D407" s="21" t="s">
        <v>817</v>
      </c>
      <c r="E407" s="210" t="s">
        <v>41</v>
      </c>
      <c r="F407" s="210"/>
      <c r="G407" s="23" t="s">
        <v>33</v>
      </c>
      <c r="H407" s="24">
        <v>4</v>
      </c>
      <c r="I407" s="25">
        <v>0.35</v>
      </c>
      <c r="J407" s="25">
        <v>1.4</v>
      </c>
    </row>
    <row r="408" spans="1:10" ht="39" customHeight="1">
      <c r="A408" s="21" t="s">
        <v>40</v>
      </c>
      <c r="B408" s="22" t="s">
        <v>818</v>
      </c>
      <c r="C408" s="21" t="s">
        <v>29</v>
      </c>
      <c r="D408" s="21" t="s">
        <v>819</v>
      </c>
      <c r="E408" s="210" t="s">
        <v>237</v>
      </c>
      <c r="F408" s="210"/>
      <c r="G408" s="23" t="s">
        <v>33</v>
      </c>
      <c r="H408" s="24">
        <v>1</v>
      </c>
      <c r="I408" s="25">
        <v>1554.94</v>
      </c>
      <c r="J408" s="25">
        <v>1554.94</v>
      </c>
    </row>
    <row r="409" spans="1:10" ht="21" customHeight="1">
      <c r="A409" s="21" t="s">
        <v>40</v>
      </c>
      <c r="B409" s="22" t="s">
        <v>820</v>
      </c>
      <c r="C409" s="21" t="s">
        <v>29</v>
      </c>
      <c r="D409" s="21" t="s">
        <v>821</v>
      </c>
      <c r="E409" s="210" t="s">
        <v>41</v>
      </c>
      <c r="F409" s="210"/>
      <c r="G409" s="23" t="s">
        <v>32</v>
      </c>
      <c r="H409" s="24">
        <v>0.2</v>
      </c>
      <c r="I409" s="25">
        <v>4.4800000000000004</v>
      </c>
      <c r="J409" s="25">
        <v>0.89</v>
      </c>
    </row>
    <row r="410" spans="1:10" ht="27.6">
      <c r="A410" s="26"/>
      <c r="B410" s="26"/>
      <c r="C410" s="26"/>
      <c r="D410" s="26"/>
      <c r="E410" s="161" t="s">
        <v>42</v>
      </c>
      <c r="F410" s="162">
        <v>82.68</v>
      </c>
      <c r="G410" s="26" t="s">
        <v>43</v>
      </c>
      <c r="H410" s="27">
        <v>0</v>
      </c>
      <c r="I410" s="26" t="s">
        <v>44</v>
      </c>
      <c r="J410" s="27">
        <v>82.68</v>
      </c>
    </row>
    <row r="411" spans="1:10" ht="15" customHeight="1" thickBot="1">
      <c r="A411" s="159"/>
      <c r="B411" s="159"/>
      <c r="C411" s="159"/>
      <c r="D411" s="159"/>
      <c r="E411" s="163" t="s">
        <v>45</v>
      </c>
      <c r="F411" s="164">
        <v>484.96</v>
      </c>
      <c r="G411" s="159"/>
      <c r="H411" s="213" t="s">
        <v>46</v>
      </c>
      <c r="I411" s="213"/>
      <c r="J411" s="160">
        <v>2167.69</v>
      </c>
    </row>
    <row r="412" spans="1:10" ht="18" customHeight="1" thickTop="1">
      <c r="A412" s="42" t="s">
        <v>641</v>
      </c>
      <c r="B412" s="43" t="s">
        <v>18</v>
      </c>
      <c r="C412" s="42" t="s">
        <v>19</v>
      </c>
      <c r="D412" s="42" t="s">
        <v>6</v>
      </c>
      <c r="E412" s="212" t="s">
        <v>37</v>
      </c>
      <c r="F412" s="212"/>
      <c r="G412" s="44" t="s">
        <v>20</v>
      </c>
      <c r="H412" s="43" t="s">
        <v>21</v>
      </c>
      <c r="I412" s="43" t="s">
        <v>22</v>
      </c>
      <c r="J412" s="43" t="s">
        <v>7</v>
      </c>
    </row>
    <row r="413" spans="1:10" ht="27" customHeight="1">
      <c r="A413" s="154" t="s">
        <v>38</v>
      </c>
      <c r="B413" s="155" t="s">
        <v>555</v>
      </c>
      <c r="C413" s="154" t="s">
        <v>29</v>
      </c>
      <c r="D413" s="154" t="s">
        <v>556</v>
      </c>
      <c r="E413" s="214" t="s">
        <v>98</v>
      </c>
      <c r="F413" s="214"/>
      <c r="G413" s="156" t="s">
        <v>33</v>
      </c>
      <c r="H413" s="157">
        <v>1</v>
      </c>
      <c r="I413" s="158">
        <v>36.32</v>
      </c>
      <c r="J413" s="158">
        <v>36.32</v>
      </c>
    </row>
    <row r="414" spans="1:10" ht="27" customHeight="1">
      <c r="A414" s="28" t="s">
        <v>47</v>
      </c>
      <c r="B414" s="29" t="s">
        <v>99</v>
      </c>
      <c r="C414" s="28" t="s">
        <v>29</v>
      </c>
      <c r="D414" s="28" t="s">
        <v>100</v>
      </c>
      <c r="E414" s="211" t="s">
        <v>50</v>
      </c>
      <c r="F414" s="211"/>
      <c r="G414" s="30" t="s">
        <v>51</v>
      </c>
      <c r="H414" s="31">
        <v>0.19040000000000001</v>
      </c>
      <c r="I414" s="32">
        <v>19.37</v>
      </c>
      <c r="J414" s="32">
        <v>3.68</v>
      </c>
    </row>
    <row r="415" spans="1:10" ht="27" customHeight="1">
      <c r="A415" s="28" t="s">
        <v>47</v>
      </c>
      <c r="B415" s="29" t="s">
        <v>101</v>
      </c>
      <c r="C415" s="28" t="s">
        <v>29</v>
      </c>
      <c r="D415" s="28" t="s">
        <v>102</v>
      </c>
      <c r="E415" s="211" t="s">
        <v>50</v>
      </c>
      <c r="F415" s="211"/>
      <c r="G415" s="30" t="s">
        <v>51</v>
      </c>
      <c r="H415" s="31">
        <v>0.19040000000000001</v>
      </c>
      <c r="I415" s="32">
        <v>23.63</v>
      </c>
      <c r="J415" s="32">
        <v>4.49</v>
      </c>
    </row>
    <row r="416" spans="1:10" ht="27" customHeight="1">
      <c r="A416" s="21" t="s">
        <v>40</v>
      </c>
      <c r="B416" s="22" t="s">
        <v>822</v>
      </c>
      <c r="C416" s="21" t="s">
        <v>29</v>
      </c>
      <c r="D416" s="21" t="s">
        <v>823</v>
      </c>
      <c r="E416" s="210" t="s">
        <v>41</v>
      </c>
      <c r="F416" s="210"/>
      <c r="G416" s="23" t="s">
        <v>33</v>
      </c>
      <c r="H416" s="24">
        <v>1</v>
      </c>
      <c r="I416" s="25">
        <v>28.09</v>
      </c>
      <c r="J416" s="25">
        <v>28.09</v>
      </c>
    </row>
    <row r="417" spans="1:10" ht="21" customHeight="1">
      <c r="A417" s="21" t="s">
        <v>40</v>
      </c>
      <c r="B417" s="22" t="s">
        <v>334</v>
      </c>
      <c r="C417" s="21" t="s">
        <v>29</v>
      </c>
      <c r="D417" s="21" t="s">
        <v>335</v>
      </c>
      <c r="E417" s="210" t="s">
        <v>41</v>
      </c>
      <c r="F417" s="210"/>
      <c r="G417" s="23" t="s">
        <v>33</v>
      </c>
      <c r="H417" s="24">
        <v>5.3E-3</v>
      </c>
      <c r="I417" s="25">
        <v>11.49</v>
      </c>
      <c r="J417" s="25">
        <v>0.06</v>
      </c>
    </row>
    <row r="418" spans="1:10" ht="27.6">
      <c r="A418" s="26"/>
      <c r="B418" s="26"/>
      <c r="C418" s="26"/>
      <c r="D418" s="26"/>
      <c r="E418" s="161" t="s">
        <v>42</v>
      </c>
      <c r="F418" s="162">
        <v>5.7</v>
      </c>
      <c r="G418" s="26" t="s">
        <v>43</v>
      </c>
      <c r="H418" s="27">
        <v>0</v>
      </c>
      <c r="I418" s="26" t="s">
        <v>44</v>
      </c>
      <c r="J418" s="27">
        <v>5.7</v>
      </c>
    </row>
    <row r="419" spans="1:10" ht="15" customHeight="1" thickBot="1">
      <c r="A419" s="159"/>
      <c r="B419" s="159"/>
      <c r="C419" s="159"/>
      <c r="D419" s="159"/>
      <c r="E419" s="163" t="s">
        <v>45</v>
      </c>
      <c r="F419" s="164">
        <v>10.46</v>
      </c>
      <c r="G419" s="159"/>
      <c r="H419" s="213" t="s">
        <v>46</v>
      </c>
      <c r="I419" s="213"/>
      <c r="J419" s="160">
        <v>46.78</v>
      </c>
    </row>
    <row r="420" spans="1:10" ht="18" customHeight="1" thickTop="1">
      <c r="A420" s="42" t="s">
        <v>642</v>
      </c>
      <c r="B420" s="43" t="s">
        <v>18</v>
      </c>
      <c r="C420" s="42" t="s">
        <v>19</v>
      </c>
      <c r="D420" s="42" t="s">
        <v>6</v>
      </c>
      <c r="E420" s="212" t="s">
        <v>37</v>
      </c>
      <c r="F420" s="212"/>
      <c r="G420" s="44" t="s">
        <v>20</v>
      </c>
      <c r="H420" s="43" t="s">
        <v>21</v>
      </c>
      <c r="I420" s="43" t="s">
        <v>22</v>
      </c>
      <c r="J420" s="43" t="s">
        <v>7</v>
      </c>
    </row>
    <row r="421" spans="1:10" ht="21" customHeight="1">
      <c r="A421" s="154" t="s">
        <v>38</v>
      </c>
      <c r="B421" s="155" t="s">
        <v>557</v>
      </c>
      <c r="C421" s="154" t="s">
        <v>66</v>
      </c>
      <c r="D421" s="154" t="s">
        <v>558</v>
      </c>
      <c r="E421" s="214" t="s">
        <v>720</v>
      </c>
      <c r="F421" s="214"/>
      <c r="G421" s="156" t="s">
        <v>33</v>
      </c>
      <c r="H421" s="157">
        <v>1</v>
      </c>
      <c r="I421" s="158">
        <v>2528.62</v>
      </c>
      <c r="J421" s="158">
        <v>2528.62</v>
      </c>
    </row>
    <row r="422" spans="1:10" ht="27" customHeight="1">
      <c r="A422" s="28" t="s">
        <v>47</v>
      </c>
      <c r="B422" s="29" t="s">
        <v>824</v>
      </c>
      <c r="C422" s="28" t="s">
        <v>66</v>
      </c>
      <c r="D422" s="28" t="s">
        <v>825</v>
      </c>
      <c r="E422" s="211" t="s">
        <v>720</v>
      </c>
      <c r="F422" s="211"/>
      <c r="G422" s="30" t="s">
        <v>51</v>
      </c>
      <c r="H422" s="31">
        <v>8</v>
      </c>
      <c r="I422" s="32">
        <v>18.95</v>
      </c>
      <c r="J422" s="32">
        <v>151.6</v>
      </c>
    </row>
    <row r="423" spans="1:10" ht="27" customHeight="1">
      <c r="A423" s="28" t="s">
        <v>47</v>
      </c>
      <c r="B423" s="29" t="s">
        <v>826</v>
      </c>
      <c r="C423" s="28" t="s">
        <v>66</v>
      </c>
      <c r="D423" s="28" t="s">
        <v>827</v>
      </c>
      <c r="E423" s="211" t="s">
        <v>720</v>
      </c>
      <c r="F423" s="211"/>
      <c r="G423" s="30" t="s">
        <v>51</v>
      </c>
      <c r="H423" s="31">
        <v>8</v>
      </c>
      <c r="I423" s="32">
        <v>23.63</v>
      </c>
      <c r="J423" s="32">
        <v>189.04</v>
      </c>
    </row>
    <row r="424" spans="1:10" ht="21" customHeight="1">
      <c r="A424" s="21" t="s">
        <v>40</v>
      </c>
      <c r="B424" s="22" t="s">
        <v>828</v>
      </c>
      <c r="C424" s="21" t="s">
        <v>66</v>
      </c>
      <c r="D424" s="21" t="s">
        <v>829</v>
      </c>
      <c r="E424" s="210" t="s">
        <v>41</v>
      </c>
      <c r="F424" s="210"/>
      <c r="G424" s="23" t="s">
        <v>32</v>
      </c>
      <c r="H424" s="24">
        <v>3.03</v>
      </c>
      <c r="I424" s="25">
        <v>0.36</v>
      </c>
      <c r="J424" s="25">
        <v>1.0900000000000001</v>
      </c>
    </row>
    <row r="425" spans="1:10" ht="21" customHeight="1">
      <c r="A425" s="21" t="s">
        <v>40</v>
      </c>
      <c r="B425" s="22" t="s">
        <v>830</v>
      </c>
      <c r="C425" s="21" t="s">
        <v>66</v>
      </c>
      <c r="D425" s="21" t="s">
        <v>831</v>
      </c>
      <c r="E425" s="210" t="s">
        <v>41</v>
      </c>
      <c r="F425" s="210"/>
      <c r="G425" s="23" t="s">
        <v>32</v>
      </c>
      <c r="H425" s="24">
        <v>5</v>
      </c>
      <c r="I425" s="25">
        <v>341.91</v>
      </c>
      <c r="J425" s="25">
        <v>1709.55</v>
      </c>
    </row>
    <row r="426" spans="1:10" ht="21" customHeight="1">
      <c r="A426" s="21" t="s">
        <v>40</v>
      </c>
      <c r="B426" s="22" t="s">
        <v>832</v>
      </c>
      <c r="C426" s="21" t="s">
        <v>66</v>
      </c>
      <c r="D426" s="21" t="s">
        <v>833</v>
      </c>
      <c r="E426" s="210" t="s">
        <v>41</v>
      </c>
      <c r="F426" s="210"/>
      <c r="G426" s="23" t="s">
        <v>33</v>
      </c>
      <c r="H426" s="24">
        <v>2</v>
      </c>
      <c r="I426" s="25">
        <v>14.9</v>
      </c>
      <c r="J426" s="25">
        <v>29.8</v>
      </c>
    </row>
    <row r="427" spans="1:10" ht="21" customHeight="1">
      <c r="A427" s="21" t="s">
        <v>40</v>
      </c>
      <c r="B427" s="22" t="s">
        <v>834</v>
      </c>
      <c r="C427" s="21" t="s">
        <v>66</v>
      </c>
      <c r="D427" s="21" t="s">
        <v>835</v>
      </c>
      <c r="E427" s="210" t="s">
        <v>41</v>
      </c>
      <c r="F427" s="210"/>
      <c r="G427" s="23" t="s">
        <v>33</v>
      </c>
      <c r="H427" s="24">
        <v>2</v>
      </c>
      <c r="I427" s="25">
        <v>10.91</v>
      </c>
      <c r="J427" s="25">
        <v>21.82</v>
      </c>
    </row>
    <row r="428" spans="1:10" ht="21" customHeight="1">
      <c r="A428" s="21" t="s">
        <v>40</v>
      </c>
      <c r="B428" s="22" t="s">
        <v>836</v>
      </c>
      <c r="C428" s="21" t="s">
        <v>66</v>
      </c>
      <c r="D428" s="21" t="s">
        <v>837</v>
      </c>
      <c r="E428" s="210" t="s">
        <v>41</v>
      </c>
      <c r="F428" s="210"/>
      <c r="G428" s="23" t="s">
        <v>33</v>
      </c>
      <c r="H428" s="24">
        <v>1</v>
      </c>
      <c r="I428" s="25">
        <v>300.2</v>
      </c>
      <c r="J428" s="25">
        <v>300.2</v>
      </c>
    </row>
    <row r="429" spans="1:10" ht="21" customHeight="1">
      <c r="A429" s="21" t="s">
        <v>40</v>
      </c>
      <c r="B429" s="22" t="s">
        <v>838</v>
      </c>
      <c r="C429" s="21" t="s">
        <v>66</v>
      </c>
      <c r="D429" s="21" t="s">
        <v>839</v>
      </c>
      <c r="E429" s="210" t="s">
        <v>41</v>
      </c>
      <c r="F429" s="210"/>
      <c r="G429" s="23" t="s">
        <v>33</v>
      </c>
      <c r="H429" s="24">
        <v>4</v>
      </c>
      <c r="I429" s="25">
        <v>31.38</v>
      </c>
      <c r="J429" s="25">
        <v>125.52</v>
      </c>
    </row>
    <row r="430" spans="1:10" ht="27.6">
      <c r="A430" s="26"/>
      <c r="B430" s="26"/>
      <c r="C430" s="26"/>
      <c r="D430" s="26"/>
      <c r="E430" s="161" t="s">
        <v>42</v>
      </c>
      <c r="F430" s="162">
        <v>236.32</v>
      </c>
      <c r="G430" s="26" t="s">
        <v>43</v>
      </c>
      <c r="H430" s="27">
        <v>0</v>
      </c>
      <c r="I430" s="26" t="s">
        <v>44</v>
      </c>
      <c r="J430" s="27">
        <v>236.32</v>
      </c>
    </row>
    <row r="431" spans="1:10" ht="15" customHeight="1" thickBot="1">
      <c r="A431" s="159"/>
      <c r="B431" s="159"/>
      <c r="C431" s="159"/>
      <c r="D431" s="159"/>
      <c r="E431" s="163" t="s">
        <v>45</v>
      </c>
      <c r="F431" s="164">
        <v>728.74</v>
      </c>
      <c r="G431" s="159"/>
      <c r="H431" s="213" t="s">
        <v>46</v>
      </c>
      <c r="I431" s="213"/>
      <c r="J431" s="160">
        <v>3257.3599999999997</v>
      </c>
    </row>
    <row r="432" spans="1:10" ht="18" customHeight="1" thickTop="1">
      <c r="A432" s="42" t="s">
        <v>292</v>
      </c>
      <c r="B432" s="43" t="s">
        <v>18</v>
      </c>
      <c r="C432" s="42" t="s">
        <v>19</v>
      </c>
      <c r="D432" s="42" t="s">
        <v>6</v>
      </c>
      <c r="E432" s="212" t="s">
        <v>37</v>
      </c>
      <c r="F432" s="212"/>
      <c r="G432" s="44" t="s">
        <v>20</v>
      </c>
      <c r="H432" s="43" t="s">
        <v>21</v>
      </c>
      <c r="I432" s="43" t="s">
        <v>22</v>
      </c>
      <c r="J432" s="43" t="s">
        <v>7</v>
      </c>
    </row>
    <row r="433" spans="1:10" ht="27" customHeight="1">
      <c r="A433" s="154" t="s">
        <v>38</v>
      </c>
      <c r="B433" s="155" t="s">
        <v>563</v>
      </c>
      <c r="C433" s="154" t="s">
        <v>29</v>
      </c>
      <c r="D433" s="154" t="s">
        <v>564</v>
      </c>
      <c r="E433" s="214" t="s">
        <v>713</v>
      </c>
      <c r="F433" s="214"/>
      <c r="G433" s="156" t="s">
        <v>27</v>
      </c>
      <c r="H433" s="157">
        <v>1</v>
      </c>
      <c r="I433" s="158">
        <v>20.64</v>
      </c>
      <c r="J433" s="158">
        <v>20.64</v>
      </c>
    </row>
    <row r="434" spans="1:10" ht="27" customHeight="1">
      <c r="A434" s="28" t="s">
        <v>47</v>
      </c>
      <c r="B434" s="29" t="s">
        <v>48</v>
      </c>
      <c r="C434" s="28" t="s">
        <v>29</v>
      </c>
      <c r="D434" s="28" t="s">
        <v>49</v>
      </c>
      <c r="E434" s="211" t="s">
        <v>50</v>
      </c>
      <c r="F434" s="211"/>
      <c r="G434" s="30" t="s">
        <v>51</v>
      </c>
      <c r="H434" s="31">
        <v>0.77400000000000002</v>
      </c>
      <c r="I434" s="32">
        <v>19.48</v>
      </c>
      <c r="J434" s="32">
        <v>15.07</v>
      </c>
    </row>
    <row r="435" spans="1:10" ht="27" customHeight="1">
      <c r="A435" s="28" t="s">
        <v>47</v>
      </c>
      <c r="B435" s="29" t="s">
        <v>79</v>
      </c>
      <c r="C435" s="28" t="s">
        <v>29</v>
      </c>
      <c r="D435" s="28" t="s">
        <v>80</v>
      </c>
      <c r="E435" s="211" t="s">
        <v>50</v>
      </c>
      <c r="F435" s="211"/>
      <c r="G435" s="30" t="s">
        <v>51</v>
      </c>
      <c r="H435" s="31">
        <v>0.2301</v>
      </c>
      <c r="I435" s="32">
        <v>24.25</v>
      </c>
      <c r="J435" s="32">
        <v>5.57</v>
      </c>
    </row>
    <row r="436" spans="1:10" ht="27.6">
      <c r="A436" s="26"/>
      <c r="B436" s="26"/>
      <c r="C436" s="26"/>
      <c r="D436" s="26"/>
      <c r="E436" s="161" t="s">
        <v>42</v>
      </c>
      <c r="F436" s="162">
        <v>13.55</v>
      </c>
      <c r="G436" s="26" t="s">
        <v>43</v>
      </c>
      <c r="H436" s="27">
        <v>0</v>
      </c>
      <c r="I436" s="26" t="s">
        <v>44</v>
      </c>
      <c r="J436" s="27">
        <v>13.55</v>
      </c>
    </row>
    <row r="437" spans="1:10" ht="15" customHeight="1" thickBot="1">
      <c r="A437" s="159"/>
      <c r="B437" s="159"/>
      <c r="C437" s="159"/>
      <c r="D437" s="159"/>
      <c r="E437" s="163" t="s">
        <v>45</v>
      </c>
      <c r="F437" s="164">
        <v>5.94</v>
      </c>
      <c r="G437" s="159"/>
      <c r="H437" s="213" t="s">
        <v>46</v>
      </c>
      <c r="I437" s="213"/>
      <c r="J437" s="160">
        <v>26.580000000000002</v>
      </c>
    </row>
    <row r="438" spans="1:10" ht="18" customHeight="1" thickTop="1">
      <c r="A438" s="42" t="s">
        <v>294</v>
      </c>
      <c r="B438" s="43" t="s">
        <v>18</v>
      </c>
      <c r="C438" s="42" t="s">
        <v>19</v>
      </c>
      <c r="D438" s="42" t="s">
        <v>6</v>
      </c>
      <c r="E438" s="212" t="s">
        <v>37</v>
      </c>
      <c r="F438" s="212"/>
      <c r="G438" s="44" t="s">
        <v>20</v>
      </c>
      <c r="H438" s="43" t="s">
        <v>21</v>
      </c>
      <c r="I438" s="43" t="s">
        <v>22</v>
      </c>
      <c r="J438" s="43" t="s">
        <v>7</v>
      </c>
    </row>
    <row r="439" spans="1:10" ht="39" customHeight="1">
      <c r="A439" s="154" t="s">
        <v>38</v>
      </c>
      <c r="B439" s="155" t="s">
        <v>559</v>
      </c>
      <c r="C439" s="154" t="s">
        <v>29</v>
      </c>
      <c r="D439" s="154" t="s">
        <v>560</v>
      </c>
      <c r="E439" s="214" t="s">
        <v>56</v>
      </c>
      <c r="F439" s="214"/>
      <c r="G439" s="156" t="s">
        <v>27</v>
      </c>
      <c r="H439" s="157">
        <v>1</v>
      </c>
      <c r="I439" s="158">
        <v>7.7800000000000011</v>
      </c>
      <c r="J439" s="158">
        <v>7.78</v>
      </c>
    </row>
    <row r="440" spans="1:10" ht="27" customHeight="1">
      <c r="A440" s="28" t="s">
        <v>47</v>
      </c>
      <c r="B440" s="29" t="s">
        <v>840</v>
      </c>
      <c r="C440" s="28" t="s">
        <v>29</v>
      </c>
      <c r="D440" s="28" t="s">
        <v>841</v>
      </c>
      <c r="E440" s="211" t="s">
        <v>50</v>
      </c>
      <c r="F440" s="211"/>
      <c r="G440" s="30" t="s">
        <v>31</v>
      </c>
      <c r="H440" s="31">
        <v>3.7000000000000002E-3</v>
      </c>
      <c r="I440" s="32">
        <v>669.1</v>
      </c>
      <c r="J440" s="32">
        <v>2.4700000000000002</v>
      </c>
    </row>
    <row r="441" spans="1:10" ht="27" customHeight="1">
      <c r="A441" s="28" t="s">
        <v>47</v>
      </c>
      <c r="B441" s="29" t="s">
        <v>48</v>
      </c>
      <c r="C441" s="28" t="s">
        <v>29</v>
      </c>
      <c r="D441" s="28" t="s">
        <v>49</v>
      </c>
      <c r="E441" s="211" t="s">
        <v>50</v>
      </c>
      <c r="F441" s="211"/>
      <c r="G441" s="30" t="s">
        <v>51</v>
      </c>
      <c r="H441" s="31">
        <v>5.7500000000000002E-2</v>
      </c>
      <c r="I441" s="32">
        <v>19.48</v>
      </c>
      <c r="J441" s="32">
        <v>1.1200000000000001</v>
      </c>
    </row>
    <row r="442" spans="1:10" ht="27" customHeight="1">
      <c r="A442" s="28" t="s">
        <v>47</v>
      </c>
      <c r="B442" s="29" t="s">
        <v>52</v>
      </c>
      <c r="C442" s="28" t="s">
        <v>29</v>
      </c>
      <c r="D442" s="28" t="s">
        <v>53</v>
      </c>
      <c r="E442" s="211" t="s">
        <v>50</v>
      </c>
      <c r="F442" s="211"/>
      <c r="G442" s="30" t="s">
        <v>51</v>
      </c>
      <c r="H442" s="31">
        <v>0.1724</v>
      </c>
      <c r="I442" s="32">
        <v>24.36</v>
      </c>
      <c r="J442" s="32">
        <v>4.1900000000000004</v>
      </c>
    </row>
    <row r="443" spans="1:10" ht="27.6">
      <c r="A443" s="26"/>
      <c r="B443" s="26"/>
      <c r="C443" s="26"/>
      <c r="D443" s="26"/>
      <c r="E443" s="161" t="s">
        <v>42</v>
      </c>
      <c r="F443" s="162">
        <v>3.91</v>
      </c>
      <c r="G443" s="26" t="s">
        <v>43</v>
      </c>
      <c r="H443" s="27">
        <v>0</v>
      </c>
      <c r="I443" s="26" t="s">
        <v>44</v>
      </c>
      <c r="J443" s="27">
        <v>3.91</v>
      </c>
    </row>
    <row r="444" spans="1:10" ht="15" customHeight="1" thickBot="1">
      <c r="A444" s="159"/>
      <c r="B444" s="159"/>
      <c r="C444" s="159"/>
      <c r="D444" s="159"/>
      <c r="E444" s="163" t="s">
        <v>45</v>
      </c>
      <c r="F444" s="164">
        <v>2.2400000000000002</v>
      </c>
      <c r="G444" s="159"/>
      <c r="H444" s="213" t="s">
        <v>46</v>
      </c>
      <c r="I444" s="213"/>
      <c r="J444" s="160">
        <v>10.02</v>
      </c>
    </row>
    <row r="445" spans="1:10" ht="18" customHeight="1" thickTop="1">
      <c r="A445" s="42" t="s">
        <v>345</v>
      </c>
      <c r="B445" s="43" t="s">
        <v>18</v>
      </c>
      <c r="C445" s="42" t="s">
        <v>19</v>
      </c>
      <c r="D445" s="42" t="s">
        <v>6</v>
      </c>
      <c r="E445" s="212" t="s">
        <v>37</v>
      </c>
      <c r="F445" s="212"/>
      <c r="G445" s="44" t="s">
        <v>20</v>
      </c>
      <c r="H445" s="43" t="s">
        <v>21</v>
      </c>
      <c r="I445" s="43" t="s">
        <v>22</v>
      </c>
      <c r="J445" s="43" t="s">
        <v>7</v>
      </c>
    </row>
    <row r="446" spans="1:10" ht="39" customHeight="1">
      <c r="A446" s="154" t="s">
        <v>38</v>
      </c>
      <c r="B446" s="155" t="s">
        <v>561</v>
      </c>
      <c r="C446" s="154" t="s">
        <v>29</v>
      </c>
      <c r="D446" s="154" t="s">
        <v>562</v>
      </c>
      <c r="E446" s="214" t="s">
        <v>56</v>
      </c>
      <c r="F446" s="214"/>
      <c r="G446" s="156" t="s">
        <v>27</v>
      </c>
      <c r="H446" s="157">
        <v>1</v>
      </c>
      <c r="I446" s="158">
        <v>29.799999999999997</v>
      </c>
      <c r="J446" s="158">
        <v>29.8</v>
      </c>
    </row>
    <row r="447" spans="1:10" ht="27" customHeight="1">
      <c r="A447" s="28" t="s">
        <v>47</v>
      </c>
      <c r="B447" s="29" t="s">
        <v>842</v>
      </c>
      <c r="C447" s="28" t="s">
        <v>29</v>
      </c>
      <c r="D447" s="28" t="s">
        <v>843</v>
      </c>
      <c r="E447" s="211" t="s">
        <v>50</v>
      </c>
      <c r="F447" s="211"/>
      <c r="G447" s="30" t="s">
        <v>31</v>
      </c>
      <c r="H447" s="31">
        <v>2.1299999999999999E-2</v>
      </c>
      <c r="I447" s="32">
        <v>882.4</v>
      </c>
      <c r="J447" s="32">
        <v>18.79</v>
      </c>
    </row>
    <row r="448" spans="1:10" ht="27" customHeight="1">
      <c r="A448" s="28" t="s">
        <v>47</v>
      </c>
      <c r="B448" s="29" t="s">
        <v>52</v>
      </c>
      <c r="C448" s="28" t="s">
        <v>29</v>
      </c>
      <c r="D448" s="28" t="s">
        <v>53</v>
      </c>
      <c r="E448" s="211" t="s">
        <v>50</v>
      </c>
      <c r="F448" s="211"/>
      <c r="G448" s="30" t="s">
        <v>51</v>
      </c>
      <c r="H448" s="31">
        <v>0.35</v>
      </c>
      <c r="I448" s="32">
        <v>24.36</v>
      </c>
      <c r="J448" s="32">
        <v>8.52</v>
      </c>
    </row>
    <row r="449" spans="1:10" ht="27" customHeight="1">
      <c r="A449" s="28" t="s">
        <v>47</v>
      </c>
      <c r="B449" s="29" t="s">
        <v>48</v>
      </c>
      <c r="C449" s="28" t="s">
        <v>29</v>
      </c>
      <c r="D449" s="28" t="s">
        <v>49</v>
      </c>
      <c r="E449" s="211" t="s">
        <v>50</v>
      </c>
      <c r="F449" s="211"/>
      <c r="G449" s="30" t="s">
        <v>51</v>
      </c>
      <c r="H449" s="31">
        <v>0.128</v>
      </c>
      <c r="I449" s="32">
        <v>19.48</v>
      </c>
      <c r="J449" s="32">
        <v>2.4900000000000002</v>
      </c>
    </row>
    <row r="450" spans="1:10" ht="27.6">
      <c r="A450" s="26"/>
      <c r="B450" s="26"/>
      <c r="C450" s="26"/>
      <c r="D450" s="26"/>
      <c r="E450" s="161" t="s">
        <v>42</v>
      </c>
      <c r="F450" s="162">
        <v>10.53</v>
      </c>
      <c r="G450" s="26" t="s">
        <v>43</v>
      </c>
      <c r="H450" s="27">
        <v>0</v>
      </c>
      <c r="I450" s="26" t="s">
        <v>44</v>
      </c>
      <c r="J450" s="27">
        <v>10.53</v>
      </c>
    </row>
    <row r="451" spans="1:10" ht="15" customHeight="1" thickBot="1">
      <c r="A451" s="159"/>
      <c r="B451" s="159"/>
      <c r="C451" s="159"/>
      <c r="D451" s="159"/>
      <c r="E451" s="163" t="s">
        <v>45</v>
      </c>
      <c r="F451" s="164">
        <v>8.58</v>
      </c>
      <c r="G451" s="159"/>
      <c r="H451" s="213" t="s">
        <v>46</v>
      </c>
      <c r="I451" s="213"/>
      <c r="J451" s="160">
        <v>38.380000000000003</v>
      </c>
    </row>
    <row r="452" spans="1:10" ht="18" customHeight="1" thickTop="1">
      <c r="A452" s="42" t="s">
        <v>346</v>
      </c>
      <c r="B452" s="43" t="s">
        <v>18</v>
      </c>
      <c r="C452" s="42" t="s">
        <v>19</v>
      </c>
      <c r="D452" s="42" t="s">
        <v>6</v>
      </c>
      <c r="E452" s="212" t="s">
        <v>37</v>
      </c>
      <c r="F452" s="212"/>
      <c r="G452" s="44" t="s">
        <v>20</v>
      </c>
      <c r="H452" s="43" t="s">
        <v>21</v>
      </c>
      <c r="I452" s="43" t="s">
        <v>22</v>
      </c>
      <c r="J452" s="43" t="s">
        <v>7</v>
      </c>
    </row>
    <row r="453" spans="1:10" ht="39" customHeight="1">
      <c r="A453" s="154" t="s">
        <v>38</v>
      </c>
      <c r="B453" s="155" t="s">
        <v>348</v>
      </c>
      <c r="C453" s="154" t="s">
        <v>29</v>
      </c>
      <c r="D453" s="154" t="s">
        <v>565</v>
      </c>
      <c r="E453" s="214" t="s">
        <v>56</v>
      </c>
      <c r="F453" s="214"/>
      <c r="G453" s="156" t="s">
        <v>27</v>
      </c>
      <c r="H453" s="157">
        <v>1</v>
      </c>
      <c r="I453" s="158">
        <v>71.67</v>
      </c>
      <c r="J453" s="158">
        <v>71.67</v>
      </c>
    </row>
    <row r="454" spans="1:10" ht="27" customHeight="1">
      <c r="A454" s="28" t="s">
        <v>47</v>
      </c>
      <c r="B454" s="29" t="s">
        <v>48</v>
      </c>
      <c r="C454" s="28" t="s">
        <v>29</v>
      </c>
      <c r="D454" s="28" t="s">
        <v>49</v>
      </c>
      <c r="E454" s="211" t="s">
        <v>50</v>
      </c>
      <c r="F454" s="211"/>
      <c r="G454" s="30" t="s">
        <v>51</v>
      </c>
      <c r="H454" s="31">
        <v>0.31380000000000002</v>
      </c>
      <c r="I454" s="32">
        <v>19.48</v>
      </c>
      <c r="J454" s="32">
        <v>6.11</v>
      </c>
    </row>
    <row r="455" spans="1:10" ht="27" customHeight="1">
      <c r="A455" s="28" t="s">
        <v>47</v>
      </c>
      <c r="B455" s="29" t="s">
        <v>79</v>
      </c>
      <c r="C455" s="28" t="s">
        <v>29</v>
      </c>
      <c r="D455" s="28" t="s">
        <v>80</v>
      </c>
      <c r="E455" s="211" t="s">
        <v>50</v>
      </c>
      <c r="F455" s="211"/>
      <c r="G455" s="30" t="s">
        <v>51</v>
      </c>
      <c r="H455" s="31">
        <v>0.69699999999999995</v>
      </c>
      <c r="I455" s="32">
        <v>24.25</v>
      </c>
      <c r="J455" s="32">
        <v>16.899999999999999</v>
      </c>
    </row>
    <row r="456" spans="1:10" ht="21" customHeight="1">
      <c r="A456" s="21" t="s">
        <v>40</v>
      </c>
      <c r="B456" s="22" t="s">
        <v>85</v>
      </c>
      <c r="C456" s="21" t="s">
        <v>29</v>
      </c>
      <c r="D456" s="21" t="s">
        <v>844</v>
      </c>
      <c r="E456" s="210" t="s">
        <v>41</v>
      </c>
      <c r="F456" s="210"/>
      <c r="G456" s="23" t="s">
        <v>54</v>
      </c>
      <c r="H456" s="24">
        <v>0.222</v>
      </c>
      <c r="I456" s="25">
        <v>5.0999999999999996</v>
      </c>
      <c r="J456" s="25">
        <v>1.1299999999999999</v>
      </c>
    </row>
    <row r="457" spans="1:10" ht="27" customHeight="1">
      <c r="A457" s="21" t="s">
        <v>40</v>
      </c>
      <c r="B457" s="22" t="s">
        <v>96</v>
      </c>
      <c r="C457" s="21" t="s">
        <v>29</v>
      </c>
      <c r="D457" s="21" t="s">
        <v>97</v>
      </c>
      <c r="E457" s="210" t="s">
        <v>41</v>
      </c>
      <c r="F457" s="210"/>
      <c r="G457" s="23" t="s">
        <v>27</v>
      </c>
      <c r="H457" s="24">
        <v>1.0798000000000001</v>
      </c>
      <c r="I457" s="25">
        <v>38.51</v>
      </c>
      <c r="J457" s="25">
        <v>41.58</v>
      </c>
    </row>
    <row r="458" spans="1:10" ht="21" customHeight="1">
      <c r="A458" s="21" t="s">
        <v>40</v>
      </c>
      <c r="B458" s="22" t="s">
        <v>81</v>
      </c>
      <c r="C458" s="21" t="s">
        <v>29</v>
      </c>
      <c r="D458" s="21" t="s">
        <v>82</v>
      </c>
      <c r="E458" s="210" t="s">
        <v>41</v>
      </c>
      <c r="F458" s="210"/>
      <c r="G458" s="23" t="s">
        <v>54</v>
      </c>
      <c r="H458" s="24">
        <v>6.85</v>
      </c>
      <c r="I458" s="25">
        <v>0.87</v>
      </c>
      <c r="J458" s="25">
        <v>5.95</v>
      </c>
    </row>
    <row r="459" spans="1:10" ht="27.6">
      <c r="A459" s="26"/>
      <c r="B459" s="26"/>
      <c r="C459" s="26"/>
      <c r="D459" s="26"/>
      <c r="E459" s="161" t="s">
        <v>42</v>
      </c>
      <c r="F459" s="162">
        <v>15.8</v>
      </c>
      <c r="G459" s="26" t="s">
        <v>43</v>
      </c>
      <c r="H459" s="27">
        <v>0</v>
      </c>
      <c r="I459" s="26" t="s">
        <v>44</v>
      </c>
      <c r="J459" s="27">
        <v>15.8</v>
      </c>
    </row>
    <row r="460" spans="1:10" ht="15" customHeight="1" thickBot="1">
      <c r="A460" s="159"/>
      <c r="B460" s="159"/>
      <c r="C460" s="159"/>
      <c r="D460" s="159"/>
      <c r="E460" s="163" t="s">
        <v>45</v>
      </c>
      <c r="F460" s="164">
        <v>20.65</v>
      </c>
      <c r="G460" s="159"/>
      <c r="H460" s="213" t="s">
        <v>46</v>
      </c>
      <c r="I460" s="213"/>
      <c r="J460" s="160">
        <v>92.32</v>
      </c>
    </row>
    <row r="461" spans="1:10" ht="18" customHeight="1" thickTop="1">
      <c r="A461" s="42" t="s">
        <v>347</v>
      </c>
      <c r="B461" s="43" t="s">
        <v>18</v>
      </c>
      <c r="C461" s="42" t="s">
        <v>19</v>
      </c>
      <c r="D461" s="42" t="s">
        <v>6</v>
      </c>
      <c r="E461" s="212" t="s">
        <v>37</v>
      </c>
      <c r="F461" s="212"/>
      <c r="G461" s="44" t="s">
        <v>20</v>
      </c>
      <c r="H461" s="43" t="s">
        <v>21</v>
      </c>
      <c r="I461" s="43" t="s">
        <v>22</v>
      </c>
      <c r="J461" s="43" t="s">
        <v>7</v>
      </c>
    </row>
    <row r="462" spans="1:10" ht="21" customHeight="1">
      <c r="A462" s="154" t="s">
        <v>38</v>
      </c>
      <c r="B462" s="155" t="s">
        <v>643</v>
      </c>
      <c r="C462" s="154" t="s">
        <v>66</v>
      </c>
      <c r="D462" s="154" t="s">
        <v>644</v>
      </c>
      <c r="E462" s="214" t="s">
        <v>720</v>
      </c>
      <c r="F462" s="214"/>
      <c r="G462" s="156" t="s">
        <v>27</v>
      </c>
      <c r="H462" s="157">
        <v>1</v>
      </c>
      <c r="I462" s="158">
        <v>127.37</v>
      </c>
      <c r="J462" s="158">
        <v>127.37</v>
      </c>
    </row>
    <row r="463" spans="1:10" ht="27" customHeight="1">
      <c r="A463" s="28" t="s">
        <v>47</v>
      </c>
      <c r="B463" s="29" t="s">
        <v>724</v>
      </c>
      <c r="C463" s="28" t="s">
        <v>66</v>
      </c>
      <c r="D463" s="28" t="s">
        <v>53</v>
      </c>
      <c r="E463" s="211" t="s">
        <v>720</v>
      </c>
      <c r="F463" s="211"/>
      <c r="G463" s="30" t="s">
        <v>51</v>
      </c>
      <c r="H463" s="31">
        <v>0.95</v>
      </c>
      <c r="I463" s="32">
        <v>24.36</v>
      </c>
      <c r="J463" s="32">
        <v>23.14</v>
      </c>
    </row>
    <row r="464" spans="1:10" ht="27" customHeight="1">
      <c r="A464" s="28" t="s">
        <v>47</v>
      </c>
      <c r="B464" s="29" t="s">
        <v>845</v>
      </c>
      <c r="C464" s="28" t="s">
        <v>66</v>
      </c>
      <c r="D464" s="28" t="s">
        <v>49</v>
      </c>
      <c r="E464" s="211" t="s">
        <v>720</v>
      </c>
      <c r="F464" s="211"/>
      <c r="G464" s="30" t="s">
        <v>51</v>
      </c>
      <c r="H464" s="31">
        <v>0.5</v>
      </c>
      <c r="I464" s="32">
        <v>19.5</v>
      </c>
      <c r="J464" s="32">
        <v>9.75</v>
      </c>
    </row>
    <row r="465" spans="1:10" ht="21" customHeight="1">
      <c r="A465" s="21" t="s">
        <v>40</v>
      </c>
      <c r="B465" s="22" t="s">
        <v>846</v>
      </c>
      <c r="C465" s="21" t="s">
        <v>66</v>
      </c>
      <c r="D465" s="21" t="s">
        <v>847</v>
      </c>
      <c r="E465" s="210" t="s">
        <v>41</v>
      </c>
      <c r="F465" s="210"/>
      <c r="G465" s="23" t="s">
        <v>54</v>
      </c>
      <c r="H465" s="24">
        <v>1.5</v>
      </c>
      <c r="I465" s="25">
        <v>5.94</v>
      </c>
      <c r="J465" s="25">
        <v>8.91</v>
      </c>
    </row>
    <row r="466" spans="1:10" ht="21" customHeight="1">
      <c r="A466" s="21" t="s">
        <v>40</v>
      </c>
      <c r="B466" s="22" t="s">
        <v>848</v>
      </c>
      <c r="C466" s="21" t="s">
        <v>66</v>
      </c>
      <c r="D466" s="21" t="s">
        <v>849</v>
      </c>
      <c r="E466" s="210" t="s">
        <v>41</v>
      </c>
      <c r="F466" s="210"/>
      <c r="G466" s="23" t="s">
        <v>27</v>
      </c>
      <c r="H466" s="24">
        <v>1.05</v>
      </c>
      <c r="I466" s="25">
        <v>74.69</v>
      </c>
      <c r="J466" s="25">
        <v>78.42</v>
      </c>
    </row>
    <row r="467" spans="1:10" ht="21" customHeight="1">
      <c r="A467" s="21" t="s">
        <v>40</v>
      </c>
      <c r="B467" s="22" t="s">
        <v>850</v>
      </c>
      <c r="C467" s="21" t="s">
        <v>66</v>
      </c>
      <c r="D467" s="21" t="s">
        <v>851</v>
      </c>
      <c r="E467" s="210" t="s">
        <v>41</v>
      </c>
      <c r="F467" s="210"/>
      <c r="G467" s="23" t="s">
        <v>54</v>
      </c>
      <c r="H467" s="24">
        <v>5</v>
      </c>
      <c r="I467" s="25">
        <v>1.43</v>
      </c>
      <c r="J467" s="25">
        <v>7.15</v>
      </c>
    </row>
    <row r="468" spans="1:10" ht="27.6">
      <c r="A468" s="26"/>
      <c r="B468" s="26"/>
      <c r="C468" s="26"/>
      <c r="D468" s="26"/>
      <c r="E468" s="161" t="s">
        <v>42</v>
      </c>
      <c r="F468" s="162">
        <v>22.55</v>
      </c>
      <c r="G468" s="26" t="s">
        <v>43</v>
      </c>
      <c r="H468" s="27">
        <v>0</v>
      </c>
      <c r="I468" s="26" t="s">
        <v>44</v>
      </c>
      <c r="J468" s="27">
        <v>22.55</v>
      </c>
    </row>
    <row r="469" spans="1:10" ht="15" customHeight="1" thickBot="1">
      <c r="A469" s="159"/>
      <c r="B469" s="159"/>
      <c r="C469" s="159"/>
      <c r="D469" s="159"/>
      <c r="E469" s="163" t="s">
        <v>45</v>
      </c>
      <c r="F469" s="164">
        <v>36.700000000000003</v>
      </c>
      <c r="G469" s="159"/>
      <c r="H469" s="213" t="s">
        <v>46</v>
      </c>
      <c r="I469" s="213"/>
      <c r="J469" s="160">
        <v>164.07</v>
      </c>
    </row>
    <row r="470" spans="1:10" ht="18" customHeight="1" thickTop="1">
      <c r="A470" s="42" t="s">
        <v>481</v>
      </c>
      <c r="B470" s="43" t="s">
        <v>18</v>
      </c>
      <c r="C470" s="42" t="s">
        <v>19</v>
      </c>
      <c r="D470" s="42" t="s">
        <v>6</v>
      </c>
      <c r="E470" s="212" t="s">
        <v>37</v>
      </c>
      <c r="F470" s="212"/>
      <c r="G470" s="44" t="s">
        <v>20</v>
      </c>
      <c r="H470" s="43" t="s">
        <v>21</v>
      </c>
      <c r="I470" s="43" t="s">
        <v>22</v>
      </c>
      <c r="J470" s="43" t="s">
        <v>7</v>
      </c>
    </row>
    <row r="471" spans="1:10" ht="27" customHeight="1">
      <c r="A471" s="154" t="s">
        <v>38</v>
      </c>
      <c r="B471" s="155" t="s">
        <v>563</v>
      </c>
      <c r="C471" s="154" t="s">
        <v>29</v>
      </c>
      <c r="D471" s="154" t="s">
        <v>564</v>
      </c>
      <c r="E471" s="214" t="s">
        <v>713</v>
      </c>
      <c r="F471" s="214"/>
      <c r="G471" s="156" t="s">
        <v>27</v>
      </c>
      <c r="H471" s="157">
        <v>1</v>
      </c>
      <c r="I471" s="158">
        <v>20.64</v>
      </c>
      <c r="J471" s="158">
        <v>20.64</v>
      </c>
    </row>
    <row r="472" spans="1:10" ht="27" customHeight="1">
      <c r="A472" s="28" t="s">
        <v>47</v>
      </c>
      <c r="B472" s="29" t="s">
        <v>48</v>
      </c>
      <c r="C472" s="28" t="s">
        <v>29</v>
      </c>
      <c r="D472" s="28" t="s">
        <v>49</v>
      </c>
      <c r="E472" s="211" t="s">
        <v>50</v>
      </c>
      <c r="F472" s="211"/>
      <c r="G472" s="30" t="s">
        <v>51</v>
      </c>
      <c r="H472" s="31">
        <v>0.77400000000000002</v>
      </c>
      <c r="I472" s="32">
        <v>19.48</v>
      </c>
      <c r="J472" s="32">
        <v>15.07</v>
      </c>
    </row>
    <row r="473" spans="1:10" ht="27" customHeight="1">
      <c r="A473" s="28" t="s">
        <v>47</v>
      </c>
      <c r="B473" s="29" t="s">
        <v>79</v>
      </c>
      <c r="C473" s="28" t="s">
        <v>29</v>
      </c>
      <c r="D473" s="28" t="s">
        <v>80</v>
      </c>
      <c r="E473" s="211" t="s">
        <v>50</v>
      </c>
      <c r="F473" s="211"/>
      <c r="G473" s="30" t="s">
        <v>51</v>
      </c>
      <c r="H473" s="31">
        <v>0.2301</v>
      </c>
      <c r="I473" s="32">
        <v>24.25</v>
      </c>
      <c r="J473" s="32">
        <v>5.57</v>
      </c>
    </row>
    <row r="474" spans="1:10" ht="27.6">
      <c r="A474" s="26"/>
      <c r="B474" s="26"/>
      <c r="C474" s="26"/>
      <c r="D474" s="26"/>
      <c r="E474" s="161" t="s">
        <v>42</v>
      </c>
      <c r="F474" s="162">
        <v>13.55</v>
      </c>
      <c r="G474" s="26" t="s">
        <v>43</v>
      </c>
      <c r="H474" s="27">
        <v>0</v>
      </c>
      <c r="I474" s="26" t="s">
        <v>44</v>
      </c>
      <c r="J474" s="27">
        <v>13.55</v>
      </c>
    </row>
    <row r="475" spans="1:10" ht="15" customHeight="1" thickBot="1">
      <c r="A475" s="159"/>
      <c r="B475" s="159"/>
      <c r="C475" s="159"/>
      <c r="D475" s="159"/>
      <c r="E475" s="163" t="s">
        <v>45</v>
      </c>
      <c r="F475" s="164">
        <v>5.94</v>
      </c>
      <c r="G475" s="159"/>
      <c r="H475" s="213" t="s">
        <v>46</v>
      </c>
      <c r="I475" s="213"/>
      <c r="J475" s="160">
        <v>26.580000000000002</v>
      </c>
    </row>
    <row r="476" spans="1:10" ht="18" customHeight="1" thickTop="1">
      <c r="A476" s="42" t="s">
        <v>484</v>
      </c>
      <c r="B476" s="43" t="s">
        <v>18</v>
      </c>
      <c r="C476" s="42" t="s">
        <v>19</v>
      </c>
      <c r="D476" s="42" t="s">
        <v>6</v>
      </c>
      <c r="E476" s="212" t="s">
        <v>37</v>
      </c>
      <c r="F476" s="212"/>
      <c r="G476" s="44" t="s">
        <v>20</v>
      </c>
      <c r="H476" s="43" t="s">
        <v>21</v>
      </c>
      <c r="I476" s="43" t="s">
        <v>22</v>
      </c>
      <c r="J476" s="43" t="s">
        <v>7</v>
      </c>
    </row>
    <row r="477" spans="1:10" ht="27" customHeight="1">
      <c r="A477" s="154" t="s">
        <v>38</v>
      </c>
      <c r="B477" s="155" t="s">
        <v>566</v>
      </c>
      <c r="C477" s="154" t="s">
        <v>29</v>
      </c>
      <c r="D477" s="154" t="s">
        <v>567</v>
      </c>
      <c r="E477" s="214" t="s">
        <v>713</v>
      </c>
      <c r="F477" s="214"/>
      <c r="G477" s="156" t="s">
        <v>32</v>
      </c>
      <c r="H477" s="157">
        <v>1</v>
      </c>
      <c r="I477" s="158">
        <v>2.36</v>
      </c>
      <c r="J477" s="158">
        <v>2.36</v>
      </c>
    </row>
    <row r="478" spans="1:10" ht="27" customHeight="1">
      <c r="A478" s="28" t="s">
        <v>47</v>
      </c>
      <c r="B478" s="29" t="s">
        <v>79</v>
      </c>
      <c r="C478" s="28" t="s">
        <v>29</v>
      </c>
      <c r="D478" s="28" t="s">
        <v>80</v>
      </c>
      <c r="E478" s="211" t="s">
        <v>50</v>
      </c>
      <c r="F478" s="211"/>
      <c r="G478" s="30" t="s">
        <v>51</v>
      </c>
      <c r="H478" s="31">
        <v>2.64E-2</v>
      </c>
      <c r="I478" s="32">
        <v>24.25</v>
      </c>
      <c r="J478" s="32">
        <v>0.64</v>
      </c>
    </row>
    <row r="479" spans="1:10" ht="27" customHeight="1">
      <c r="A479" s="28" t="s">
        <v>47</v>
      </c>
      <c r="B479" s="29" t="s">
        <v>48</v>
      </c>
      <c r="C479" s="28" t="s">
        <v>29</v>
      </c>
      <c r="D479" s="28" t="s">
        <v>49</v>
      </c>
      <c r="E479" s="211" t="s">
        <v>50</v>
      </c>
      <c r="F479" s="211"/>
      <c r="G479" s="30" t="s">
        <v>51</v>
      </c>
      <c r="H479" s="31">
        <v>8.8800000000000004E-2</v>
      </c>
      <c r="I479" s="32">
        <v>19.48</v>
      </c>
      <c r="J479" s="32">
        <v>1.72</v>
      </c>
    </row>
    <row r="480" spans="1:10" ht="27.6">
      <c r="A480" s="26"/>
      <c r="B480" s="26"/>
      <c r="C480" s="26"/>
      <c r="D480" s="26"/>
      <c r="E480" s="161" t="s">
        <v>42</v>
      </c>
      <c r="F480" s="162">
        <v>1.55</v>
      </c>
      <c r="G480" s="26" t="s">
        <v>43</v>
      </c>
      <c r="H480" s="27">
        <v>0</v>
      </c>
      <c r="I480" s="26" t="s">
        <v>44</v>
      </c>
      <c r="J480" s="27">
        <v>1.55</v>
      </c>
    </row>
    <row r="481" spans="1:10" ht="15" customHeight="1" thickBot="1">
      <c r="A481" s="159"/>
      <c r="B481" s="159"/>
      <c r="C481" s="159"/>
      <c r="D481" s="159"/>
      <c r="E481" s="163" t="s">
        <v>45</v>
      </c>
      <c r="F481" s="164">
        <v>0.68</v>
      </c>
      <c r="G481" s="159"/>
      <c r="H481" s="213" t="s">
        <v>46</v>
      </c>
      <c r="I481" s="213"/>
      <c r="J481" s="160">
        <v>3.04</v>
      </c>
    </row>
    <row r="482" spans="1:10" ht="18" customHeight="1" thickTop="1">
      <c r="A482" s="42" t="s">
        <v>487</v>
      </c>
      <c r="B482" s="43" t="s">
        <v>18</v>
      </c>
      <c r="C482" s="42" t="s">
        <v>19</v>
      </c>
      <c r="D482" s="42" t="s">
        <v>6</v>
      </c>
      <c r="E482" s="212" t="s">
        <v>37</v>
      </c>
      <c r="F482" s="212"/>
      <c r="G482" s="44" t="s">
        <v>20</v>
      </c>
      <c r="H482" s="43" t="s">
        <v>21</v>
      </c>
      <c r="I482" s="43" t="s">
        <v>22</v>
      </c>
      <c r="J482" s="43" t="s">
        <v>7</v>
      </c>
    </row>
    <row r="483" spans="1:10" ht="27" customHeight="1">
      <c r="A483" s="154" t="s">
        <v>38</v>
      </c>
      <c r="B483" s="155" t="s">
        <v>568</v>
      </c>
      <c r="C483" s="154" t="s">
        <v>29</v>
      </c>
      <c r="D483" s="154" t="s">
        <v>569</v>
      </c>
      <c r="E483" s="214" t="s">
        <v>73</v>
      </c>
      <c r="F483" s="214"/>
      <c r="G483" s="156" t="s">
        <v>27</v>
      </c>
      <c r="H483" s="157">
        <v>1</v>
      </c>
      <c r="I483" s="158">
        <v>37.659999999999997</v>
      </c>
      <c r="J483" s="158">
        <v>37.659999999999997</v>
      </c>
    </row>
    <row r="484" spans="1:10" ht="27" customHeight="1">
      <c r="A484" s="28" t="s">
        <v>47</v>
      </c>
      <c r="B484" s="29" t="s">
        <v>52</v>
      </c>
      <c r="C484" s="28" t="s">
        <v>29</v>
      </c>
      <c r="D484" s="28" t="s">
        <v>53</v>
      </c>
      <c r="E484" s="211" t="s">
        <v>50</v>
      </c>
      <c r="F484" s="211"/>
      <c r="G484" s="30" t="s">
        <v>51</v>
      </c>
      <c r="H484" s="31">
        <v>0.1</v>
      </c>
      <c r="I484" s="32">
        <v>24.36</v>
      </c>
      <c r="J484" s="32">
        <v>2.4300000000000002</v>
      </c>
    </row>
    <row r="485" spans="1:10" ht="27" customHeight="1">
      <c r="A485" s="28" t="s">
        <v>47</v>
      </c>
      <c r="B485" s="29" t="s">
        <v>48</v>
      </c>
      <c r="C485" s="28" t="s">
        <v>29</v>
      </c>
      <c r="D485" s="28" t="s">
        <v>49</v>
      </c>
      <c r="E485" s="211" t="s">
        <v>50</v>
      </c>
      <c r="F485" s="211"/>
      <c r="G485" s="30" t="s">
        <v>51</v>
      </c>
      <c r="H485" s="31">
        <v>0.05</v>
      </c>
      <c r="I485" s="32">
        <v>19.48</v>
      </c>
      <c r="J485" s="32">
        <v>0.97</v>
      </c>
    </row>
    <row r="486" spans="1:10" ht="21" customHeight="1">
      <c r="A486" s="21" t="s">
        <v>40</v>
      </c>
      <c r="B486" s="22" t="s">
        <v>74</v>
      </c>
      <c r="C486" s="21" t="s">
        <v>29</v>
      </c>
      <c r="D486" s="21" t="s">
        <v>75</v>
      </c>
      <c r="E486" s="210" t="s">
        <v>41</v>
      </c>
      <c r="F486" s="210"/>
      <c r="G486" s="23" t="s">
        <v>76</v>
      </c>
      <c r="H486" s="24">
        <v>0.21</v>
      </c>
      <c r="I486" s="25">
        <v>16.14</v>
      </c>
      <c r="J486" s="25">
        <v>3.38</v>
      </c>
    </row>
    <row r="487" spans="1:10" ht="27" customHeight="1">
      <c r="A487" s="21" t="s">
        <v>40</v>
      </c>
      <c r="B487" s="22" t="s">
        <v>852</v>
      </c>
      <c r="C487" s="21" t="s">
        <v>29</v>
      </c>
      <c r="D487" s="21" t="s">
        <v>853</v>
      </c>
      <c r="E487" s="210" t="s">
        <v>41</v>
      </c>
      <c r="F487" s="210"/>
      <c r="G487" s="23" t="s">
        <v>31</v>
      </c>
      <c r="H487" s="24">
        <v>4.2999999999999997E-2</v>
      </c>
      <c r="I487" s="25">
        <v>718.35</v>
      </c>
      <c r="J487" s="25">
        <v>30.88</v>
      </c>
    </row>
    <row r="488" spans="1:10" ht="27.6">
      <c r="A488" s="26"/>
      <c r="B488" s="26"/>
      <c r="C488" s="26"/>
      <c r="D488" s="26"/>
      <c r="E488" s="161" t="s">
        <v>42</v>
      </c>
      <c r="F488" s="162">
        <v>2.33</v>
      </c>
      <c r="G488" s="26" t="s">
        <v>43</v>
      </c>
      <c r="H488" s="27">
        <v>0</v>
      </c>
      <c r="I488" s="26" t="s">
        <v>44</v>
      </c>
      <c r="J488" s="27">
        <v>2.33</v>
      </c>
    </row>
    <row r="489" spans="1:10" ht="15" customHeight="1" thickBot="1">
      <c r="A489" s="159"/>
      <c r="B489" s="159"/>
      <c r="C489" s="159"/>
      <c r="D489" s="159"/>
      <c r="E489" s="163" t="s">
        <v>45</v>
      </c>
      <c r="F489" s="164">
        <v>10.85</v>
      </c>
      <c r="G489" s="159"/>
      <c r="H489" s="213" t="s">
        <v>46</v>
      </c>
      <c r="I489" s="213"/>
      <c r="J489" s="160">
        <v>48.51</v>
      </c>
    </row>
    <row r="490" spans="1:10" ht="18" customHeight="1" thickTop="1">
      <c r="A490" s="42" t="s">
        <v>646</v>
      </c>
      <c r="B490" s="43" t="s">
        <v>18</v>
      </c>
      <c r="C490" s="42" t="s">
        <v>19</v>
      </c>
      <c r="D490" s="42" t="s">
        <v>6</v>
      </c>
      <c r="E490" s="212" t="s">
        <v>37</v>
      </c>
      <c r="F490" s="212"/>
      <c r="G490" s="44" t="s">
        <v>20</v>
      </c>
      <c r="H490" s="43" t="s">
        <v>21</v>
      </c>
      <c r="I490" s="43" t="s">
        <v>22</v>
      </c>
      <c r="J490" s="43" t="s">
        <v>7</v>
      </c>
    </row>
    <row r="491" spans="1:10" ht="39" customHeight="1">
      <c r="A491" s="154" t="s">
        <v>38</v>
      </c>
      <c r="B491" s="155" t="s">
        <v>349</v>
      </c>
      <c r="C491" s="154" t="s">
        <v>29</v>
      </c>
      <c r="D491" s="154" t="s">
        <v>570</v>
      </c>
      <c r="E491" s="214" t="s">
        <v>73</v>
      </c>
      <c r="F491" s="214"/>
      <c r="G491" s="156" t="s">
        <v>27</v>
      </c>
      <c r="H491" s="157">
        <v>1</v>
      </c>
      <c r="I491" s="158">
        <v>55.250000000000007</v>
      </c>
      <c r="J491" s="158">
        <v>55.25</v>
      </c>
    </row>
    <row r="492" spans="1:10" ht="27" customHeight="1">
      <c r="A492" s="28" t="s">
        <v>47</v>
      </c>
      <c r="B492" s="29" t="s">
        <v>48</v>
      </c>
      <c r="C492" s="28" t="s">
        <v>29</v>
      </c>
      <c r="D492" s="28" t="s">
        <v>49</v>
      </c>
      <c r="E492" s="211" t="s">
        <v>50</v>
      </c>
      <c r="F492" s="211"/>
      <c r="G492" s="30" t="s">
        <v>51</v>
      </c>
      <c r="H492" s="31">
        <v>0.1308</v>
      </c>
      <c r="I492" s="32">
        <v>19.48</v>
      </c>
      <c r="J492" s="32">
        <v>2.54</v>
      </c>
    </row>
    <row r="493" spans="1:10" ht="27" customHeight="1">
      <c r="A493" s="28" t="s">
        <v>47</v>
      </c>
      <c r="B493" s="29" t="s">
        <v>79</v>
      </c>
      <c r="C493" s="28" t="s">
        <v>29</v>
      </c>
      <c r="D493" s="28" t="s">
        <v>80</v>
      </c>
      <c r="E493" s="211" t="s">
        <v>50</v>
      </c>
      <c r="F493" s="211"/>
      <c r="G493" s="30" t="s">
        <v>51</v>
      </c>
      <c r="H493" s="31">
        <v>0.25369999999999998</v>
      </c>
      <c r="I493" s="32">
        <v>24.25</v>
      </c>
      <c r="J493" s="32">
        <v>6.15</v>
      </c>
    </row>
    <row r="494" spans="1:10" ht="21" customHeight="1">
      <c r="A494" s="21" t="s">
        <v>40</v>
      </c>
      <c r="B494" s="22" t="s">
        <v>81</v>
      </c>
      <c r="C494" s="21" t="s">
        <v>29</v>
      </c>
      <c r="D494" s="21" t="s">
        <v>82</v>
      </c>
      <c r="E494" s="210" t="s">
        <v>41</v>
      </c>
      <c r="F494" s="210"/>
      <c r="G494" s="23" t="s">
        <v>54</v>
      </c>
      <c r="H494" s="24">
        <v>9.1325000000000003</v>
      </c>
      <c r="I494" s="25">
        <v>0.87</v>
      </c>
      <c r="J494" s="25">
        <v>7.94</v>
      </c>
    </row>
    <row r="495" spans="1:10" ht="27" customHeight="1">
      <c r="A495" s="21" t="s">
        <v>40</v>
      </c>
      <c r="B495" s="22" t="s">
        <v>83</v>
      </c>
      <c r="C495" s="21" t="s">
        <v>29</v>
      </c>
      <c r="D495" s="21" t="s">
        <v>84</v>
      </c>
      <c r="E495" s="210" t="s">
        <v>41</v>
      </c>
      <c r="F495" s="210"/>
      <c r="G495" s="23" t="s">
        <v>27</v>
      </c>
      <c r="H495" s="24">
        <v>1.06</v>
      </c>
      <c r="I495" s="25">
        <v>35.54</v>
      </c>
      <c r="J495" s="25">
        <v>37.67</v>
      </c>
    </row>
    <row r="496" spans="1:10" ht="21" customHeight="1">
      <c r="A496" s="21" t="s">
        <v>40</v>
      </c>
      <c r="B496" s="22" t="s">
        <v>85</v>
      </c>
      <c r="C496" s="21" t="s">
        <v>29</v>
      </c>
      <c r="D496" s="21" t="s">
        <v>844</v>
      </c>
      <c r="E496" s="210" t="s">
        <v>41</v>
      </c>
      <c r="F496" s="210"/>
      <c r="G496" s="23" t="s">
        <v>54</v>
      </c>
      <c r="H496" s="24">
        <v>0.188</v>
      </c>
      <c r="I496" s="25">
        <v>5.0999999999999996</v>
      </c>
      <c r="J496" s="25">
        <v>0.95</v>
      </c>
    </row>
    <row r="497" spans="1:10" ht="27.6">
      <c r="A497" s="26"/>
      <c r="B497" s="26"/>
      <c r="C497" s="26"/>
      <c r="D497" s="26"/>
      <c r="E497" s="161" t="s">
        <v>42</v>
      </c>
      <c r="F497" s="162">
        <v>5.95</v>
      </c>
      <c r="G497" s="26" t="s">
        <v>43</v>
      </c>
      <c r="H497" s="27">
        <v>0</v>
      </c>
      <c r="I497" s="26" t="s">
        <v>44</v>
      </c>
      <c r="J497" s="27">
        <v>5.95</v>
      </c>
    </row>
    <row r="498" spans="1:10" ht="15" customHeight="1" thickBot="1">
      <c r="A498" s="159"/>
      <c r="B498" s="159"/>
      <c r="C498" s="159"/>
      <c r="D498" s="159"/>
      <c r="E498" s="163" t="s">
        <v>45</v>
      </c>
      <c r="F498" s="164">
        <v>15.92</v>
      </c>
      <c r="G498" s="159"/>
      <c r="H498" s="213" t="s">
        <v>46</v>
      </c>
      <c r="I498" s="213"/>
      <c r="J498" s="160">
        <v>71.17</v>
      </c>
    </row>
    <row r="499" spans="1:10" ht="18" customHeight="1" thickTop="1">
      <c r="A499" s="42" t="s">
        <v>647</v>
      </c>
      <c r="B499" s="43" t="s">
        <v>18</v>
      </c>
      <c r="C499" s="42" t="s">
        <v>19</v>
      </c>
      <c r="D499" s="42" t="s">
        <v>6</v>
      </c>
      <c r="E499" s="212" t="s">
        <v>37</v>
      </c>
      <c r="F499" s="212"/>
      <c r="G499" s="44" t="s">
        <v>20</v>
      </c>
      <c r="H499" s="43" t="s">
        <v>21</v>
      </c>
      <c r="I499" s="43" t="s">
        <v>22</v>
      </c>
      <c r="J499" s="43" t="s">
        <v>7</v>
      </c>
    </row>
    <row r="500" spans="1:10" ht="27" customHeight="1">
      <c r="A500" s="154" t="s">
        <v>38</v>
      </c>
      <c r="B500" s="155" t="s">
        <v>571</v>
      </c>
      <c r="C500" s="154" t="s">
        <v>29</v>
      </c>
      <c r="D500" s="154" t="s">
        <v>572</v>
      </c>
      <c r="E500" s="214" t="s">
        <v>73</v>
      </c>
      <c r="F500" s="214"/>
      <c r="G500" s="156" t="s">
        <v>32</v>
      </c>
      <c r="H500" s="157">
        <v>1</v>
      </c>
      <c r="I500" s="158">
        <v>7.67</v>
      </c>
      <c r="J500" s="158">
        <v>7.67</v>
      </c>
    </row>
    <row r="501" spans="1:10" ht="27" customHeight="1">
      <c r="A501" s="28" t="s">
        <v>47</v>
      </c>
      <c r="B501" s="29" t="s">
        <v>79</v>
      </c>
      <c r="C501" s="28" t="s">
        <v>29</v>
      </c>
      <c r="D501" s="28" t="s">
        <v>80</v>
      </c>
      <c r="E501" s="211" t="s">
        <v>50</v>
      </c>
      <c r="F501" s="211"/>
      <c r="G501" s="30" t="s">
        <v>51</v>
      </c>
      <c r="H501" s="31">
        <v>7.2599999999999998E-2</v>
      </c>
      <c r="I501" s="32">
        <v>24.25</v>
      </c>
      <c r="J501" s="32">
        <v>1.76</v>
      </c>
    </row>
    <row r="502" spans="1:10" ht="27" customHeight="1">
      <c r="A502" s="28" t="s">
        <v>47</v>
      </c>
      <c r="B502" s="29" t="s">
        <v>48</v>
      </c>
      <c r="C502" s="28" t="s">
        <v>29</v>
      </c>
      <c r="D502" s="28" t="s">
        <v>49</v>
      </c>
      <c r="E502" s="211" t="s">
        <v>50</v>
      </c>
      <c r="F502" s="211"/>
      <c r="G502" s="30" t="s">
        <v>51</v>
      </c>
      <c r="H502" s="31">
        <v>2.86E-2</v>
      </c>
      <c r="I502" s="32">
        <v>19.48</v>
      </c>
      <c r="J502" s="32">
        <v>0.55000000000000004</v>
      </c>
    </row>
    <row r="503" spans="1:10" ht="21" customHeight="1">
      <c r="A503" s="21" t="s">
        <v>40</v>
      </c>
      <c r="B503" s="22" t="s">
        <v>81</v>
      </c>
      <c r="C503" s="21" t="s">
        <v>29</v>
      </c>
      <c r="D503" s="21" t="s">
        <v>82</v>
      </c>
      <c r="E503" s="210" t="s">
        <v>41</v>
      </c>
      <c r="F503" s="210"/>
      <c r="G503" s="23" t="s">
        <v>54</v>
      </c>
      <c r="H503" s="24">
        <v>0.63919999999999999</v>
      </c>
      <c r="I503" s="25">
        <v>0.87</v>
      </c>
      <c r="J503" s="25">
        <v>0.55000000000000004</v>
      </c>
    </row>
    <row r="504" spans="1:10" ht="27" customHeight="1">
      <c r="A504" s="21" t="s">
        <v>40</v>
      </c>
      <c r="B504" s="22" t="s">
        <v>83</v>
      </c>
      <c r="C504" s="21" t="s">
        <v>29</v>
      </c>
      <c r="D504" s="21" t="s">
        <v>84</v>
      </c>
      <c r="E504" s="210" t="s">
        <v>41</v>
      </c>
      <c r="F504" s="210"/>
      <c r="G504" s="23" t="s">
        <v>27</v>
      </c>
      <c r="H504" s="24">
        <v>0.1225</v>
      </c>
      <c r="I504" s="25">
        <v>35.54</v>
      </c>
      <c r="J504" s="25">
        <v>4.3499999999999996</v>
      </c>
    </row>
    <row r="505" spans="1:10" ht="21" customHeight="1">
      <c r="A505" s="21" t="s">
        <v>40</v>
      </c>
      <c r="B505" s="22" t="s">
        <v>85</v>
      </c>
      <c r="C505" s="21" t="s">
        <v>29</v>
      </c>
      <c r="D505" s="21" t="s">
        <v>844</v>
      </c>
      <c r="E505" s="210" t="s">
        <v>41</v>
      </c>
      <c r="F505" s="210"/>
      <c r="G505" s="23" t="s">
        <v>54</v>
      </c>
      <c r="H505" s="24">
        <v>9.1999999999999998E-2</v>
      </c>
      <c r="I505" s="25">
        <v>5.0999999999999996</v>
      </c>
      <c r="J505" s="25">
        <v>0.46</v>
      </c>
    </row>
    <row r="506" spans="1:10" ht="27.6">
      <c r="A506" s="26"/>
      <c r="B506" s="26"/>
      <c r="C506" s="26"/>
      <c r="D506" s="26"/>
      <c r="E506" s="161" t="s">
        <v>42</v>
      </c>
      <c r="F506" s="162">
        <v>1.59</v>
      </c>
      <c r="G506" s="26" t="s">
        <v>43</v>
      </c>
      <c r="H506" s="27">
        <v>0</v>
      </c>
      <c r="I506" s="26" t="s">
        <v>44</v>
      </c>
      <c r="J506" s="27">
        <v>1.59</v>
      </c>
    </row>
    <row r="507" spans="1:10" ht="15" customHeight="1" thickBot="1">
      <c r="A507" s="159"/>
      <c r="B507" s="159"/>
      <c r="C507" s="159"/>
      <c r="D507" s="159"/>
      <c r="E507" s="163" t="s">
        <v>45</v>
      </c>
      <c r="F507" s="164">
        <v>2.21</v>
      </c>
      <c r="G507" s="159"/>
      <c r="H507" s="213" t="s">
        <v>46</v>
      </c>
      <c r="I507" s="213"/>
      <c r="J507" s="160">
        <v>9.879999999999999</v>
      </c>
    </row>
    <row r="508" spans="1:10" ht="18" customHeight="1" thickTop="1">
      <c r="A508" s="42" t="s">
        <v>491</v>
      </c>
      <c r="B508" s="43" t="s">
        <v>18</v>
      </c>
      <c r="C508" s="42" t="s">
        <v>19</v>
      </c>
      <c r="D508" s="42" t="s">
        <v>6</v>
      </c>
      <c r="E508" s="212" t="s">
        <v>37</v>
      </c>
      <c r="F508" s="212"/>
      <c r="G508" s="44" t="s">
        <v>20</v>
      </c>
      <c r="H508" s="43" t="s">
        <v>21</v>
      </c>
      <c r="I508" s="43" t="s">
        <v>22</v>
      </c>
      <c r="J508" s="43" t="s">
        <v>7</v>
      </c>
    </row>
    <row r="509" spans="1:10" ht="27" customHeight="1">
      <c r="A509" s="154" t="s">
        <v>38</v>
      </c>
      <c r="B509" s="155" t="s">
        <v>649</v>
      </c>
      <c r="C509" s="154" t="s">
        <v>29</v>
      </c>
      <c r="D509" s="154" t="s">
        <v>650</v>
      </c>
      <c r="E509" s="214" t="s">
        <v>713</v>
      </c>
      <c r="F509" s="214"/>
      <c r="G509" s="156" t="s">
        <v>31</v>
      </c>
      <c r="H509" s="157">
        <v>1</v>
      </c>
      <c r="I509" s="158">
        <v>95.490000000000009</v>
      </c>
      <c r="J509" s="158">
        <v>95.49</v>
      </c>
    </row>
    <row r="510" spans="1:10" ht="27" customHeight="1">
      <c r="A510" s="28" t="s">
        <v>47</v>
      </c>
      <c r="B510" s="29" t="s">
        <v>854</v>
      </c>
      <c r="C510" s="28" t="s">
        <v>29</v>
      </c>
      <c r="D510" s="28" t="s">
        <v>855</v>
      </c>
      <c r="E510" s="211" t="s">
        <v>57</v>
      </c>
      <c r="F510" s="211"/>
      <c r="G510" s="30" t="s">
        <v>58</v>
      </c>
      <c r="H510" s="31">
        <v>1.137</v>
      </c>
      <c r="I510" s="32">
        <v>32.79</v>
      </c>
      <c r="J510" s="32">
        <v>37.28</v>
      </c>
    </row>
    <row r="511" spans="1:10" ht="27" customHeight="1">
      <c r="A511" s="28" t="s">
        <v>47</v>
      </c>
      <c r="B511" s="29" t="s">
        <v>48</v>
      </c>
      <c r="C511" s="28" t="s">
        <v>29</v>
      </c>
      <c r="D511" s="28" t="s">
        <v>49</v>
      </c>
      <c r="E511" s="211" t="s">
        <v>50</v>
      </c>
      <c r="F511" s="211"/>
      <c r="G511" s="30" t="s">
        <v>51</v>
      </c>
      <c r="H511" s="31">
        <v>0.44790000000000002</v>
      </c>
      <c r="I511" s="32">
        <v>19.48</v>
      </c>
      <c r="J511" s="32">
        <v>8.7200000000000006</v>
      </c>
    </row>
    <row r="512" spans="1:10" ht="27" customHeight="1">
      <c r="A512" s="28" t="s">
        <v>47</v>
      </c>
      <c r="B512" s="29" t="s">
        <v>856</v>
      </c>
      <c r="C512" s="28" t="s">
        <v>29</v>
      </c>
      <c r="D512" s="28" t="s">
        <v>857</v>
      </c>
      <c r="E512" s="211" t="s">
        <v>57</v>
      </c>
      <c r="F512" s="211"/>
      <c r="G512" s="30" t="s">
        <v>59</v>
      </c>
      <c r="H512" s="31">
        <v>0.86950000000000005</v>
      </c>
      <c r="I512" s="32">
        <v>19.149999999999999</v>
      </c>
      <c r="J512" s="32">
        <v>16.649999999999999</v>
      </c>
    </row>
    <row r="513" spans="1:10" ht="27" customHeight="1">
      <c r="A513" s="28" t="s">
        <v>47</v>
      </c>
      <c r="B513" s="29" t="s">
        <v>52</v>
      </c>
      <c r="C513" s="28" t="s">
        <v>29</v>
      </c>
      <c r="D513" s="28" t="s">
        <v>53</v>
      </c>
      <c r="E513" s="211" t="s">
        <v>50</v>
      </c>
      <c r="F513" s="211"/>
      <c r="G513" s="30" t="s">
        <v>51</v>
      </c>
      <c r="H513" s="31">
        <v>7.22E-2</v>
      </c>
      <c r="I513" s="32">
        <v>24.36</v>
      </c>
      <c r="J513" s="32">
        <v>1.75</v>
      </c>
    </row>
    <row r="514" spans="1:10" ht="27" customHeight="1">
      <c r="A514" s="28" t="s">
        <v>47</v>
      </c>
      <c r="B514" s="29" t="s">
        <v>858</v>
      </c>
      <c r="C514" s="28" t="s">
        <v>29</v>
      </c>
      <c r="D514" s="28" t="s">
        <v>859</v>
      </c>
      <c r="E514" s="211" t="s">
        <v>57</v>
      </c>
      <c r="F514" s="211"/>
      <c r="G514" s="30" t="s">
        <v>59</v>
      </c>
      <c r="H514" s="31">
        <v>0.86950000000000005</v>
      </c>
      <c r="I514" s="32">
        <v>8.32</v>
      </c>
      <c r="J514" s="32">
        <v>7.23</v>
      </c>
    </row>
    <row r="515" spans="1:10" ht="27" customHeight="1">
      <c r="A515" s="28" t="s">
        <v>47</v>
      </c>
      <c r="B515" s="29" t="s">
        <v>860</v>
      </c>
      <c r="C515" s="28" t="s">
        <v>29</v>
      </c>
      <c r="D515" s="28" t="s">
        <v>861</v>
      </c>
      <c r="E515" s="211" t="s">
        <v>57</v>
      </c>
      <c r="F515" s="211"/>
      <c r="G515" s="30" t="s">
        <v>58</v>
      </c>
      <c r="H515" s="31">
        <v>1.137</v>
      </c>
      <c r="I515" s="32">
        <v>20.99</v>
      </c>
      <c r="J515" s="32">
        <v>23.86</v>
      </c>
    </row>
    <row r="516" spans="1:10" ht="27.6">
      <c r="A516" s="26"/>
      <c r="B516" s="26"/>
      <c r="C516" s="26"/>
      <c r="D516" s="26"/>
      <c r="E516" s="161" t="s">
        <v>42</v>
      </c>
      <c r="F516" s="162">
        <v>29.44</v>
      </c>
      <c r="G516" s="26" t="s">
        <v>43</v>
      </c>
      <c r="H516" s="27">
        <v>0</v>
      </c>
      <c r="I516" s="26" t="s">
        <v>44</v>
      </c>
      <c r="J516" s="27">
        <v>29.44</v>
      </c>
    </row>
    <row r="517" spans="1:10" ht="15" customHeight="1" thickBot="1">
      <c r="A517" s="159"/>
      <c r="B517" s="159"/>
      <c r="C517" s="159"/>
      <c r="D517" s="159"/>
      <c r="E517" s="163" t="s">
        <v>45</v>
      </c>
      <c r="F517" s="164">
        <v>27.52</v>
      </c>
      <c r="G517" s="159"/>
      <c r="H517" s="213" t="s">
        <v>46</v>
      </c>
      <c r="I517" s="213"/>
      <c r="J517" s="160">
        <v>123.00999999999999</v>
      </c>
    </row>
    <row r="518" spans="1:10" ht="18" customHeight="1" thickTop="1">
      <c r="A518" s="42" t="s">
        <v>493</v>
      </c>
      <c r="B518" s="43" t="s">
        <v>18</v>
      </c>
      <c r="C518" s="42" t="s">
        <v>19</v>
      </c>
      <c r="D518" s="42" t="s">
        <v>6</v>
      </c>
      <c r="E518" s="212" t="s">
        <v>37</v>
      </c>
      <c r="F518" s="212"/>
      <c r="G518" s="44" t="s">
        <v>20</v>
      </c>
      <c r="H518" s="43" t="s">
        <v>21</v>
      </c>
      <c r="I518" s="43" t="s">
        <v>22</v>
      </c>
      <c r="J518" s="43" t="s">
        <v>7</v>
      </c>
    </row>
    <row r="519" spans="1:10" ht="27" customHeight="1">
      <c r="A519" s="154" t="s">
        <v>38</v>
      </c>
      <c r="B519" s="155" t="s">
        <v>307</v>
      </c>
      <c r="C519" s="154" t="s">
        <v>29</v>
      </c>
      <c r="D519" s="154" t="s">
        <v>651</v>
      </c>
      <c r="E519" s="214" t="s">
        <v>72</v>
      </c>
      <c r="F519" s="214"/>
      <c r="G519" s="156" t="s">
        <v>31</v>
      </c>
      <c r="H519" s="157">
        <v>1</v>
      </c>
      <c r="I519" s="158">
        <v>73.599999999999994</v>
      </c>
      <c r="J519" s="158">
        <v>73.599999999999994</v>
      </c>
    </row>
    <row r="520" spans="1:10" ht="27" customHeight="1">
      <c r="A520" s="28" t="s">
        <v>47</v>
      </c>
      <c r="B520" s="29" t="s">
        <v>48</v>
      </c>
      <c r="C520" s="28" t="s">
        <v>29</v>
      </c>
      <c r="D520" s="28" t="s">
        <v>49</v>
      </c>
      <c r="E520" s="211" t="s">
        <v>50</v>
      </c>
      <c r="F520" s="211"/>
      <c r="G520" s="30" t="s">
        <v>51</v>
      </c>
      <c r="H520" s="31">
        <v>0.78659999999999997</v>
      </c>
      <c r="I520" s="32">
        <v>19.48</v>
      </c>
      <c r="J520" s="32">
        <v>15.32</v>
      </c>
    </row>
    <row r="521" spans="1:10" ht="27" customHeight="1">
      <c r="A521" s="28" t="s">
        <v>47</v>
      </c>
      <c r="B521" s="29" t="s">
        <v>323</v>
      </c>
      <c r="C521" s="28" t="s">
        <v>29</v>
      </c>
      <c r="D521" s="28" t="s">
        <v>324</v>
      </c>
      <c r="E521" s="211" t="s">
        <v>57</v>
      </c>
      <c r="F521" s="211"/>
      <c r="G521" s="30" t="s">
        <v>58</v>
      </c>
      <c r="H521" s="31">
        <v>0.19620000000000001</v>
      </c>
      <c r="I521" s="32">
        <v>32.090000000000003</v>
      </c>
      <c r="J521" s="32">
        <v>6.29</v>
      </c>
    </row>
    <row r="522" spans="1:10" ht="27" customHeight="1">
      <c r="A522" s="28" t="s">
        <v>47</v>
      </c>
      <c r="B522" s="29" t="s">
        <v>319</v>
      </c>
      <c r="C522" s="28" t="s">
        <v>29</v>
      </c>
      <c r="D522" s="28" t="s">
        <v>320</v>
      </c>
      <c r="E522" s="211" t="s">
        <v>57</v>
      </c>
      <c r="F522" s="211"/>
      <c r="G522" s="30" t="s">
        <v>58</v>
      </c>
      <c r="H522" s="31">
        <v>5.4000000000000003E-3</v>
      </c>
      <c r="I522" s="32">
        <v>327.2</v>
      </c>
      <c r="J522" s="32">
        <v>1.76</v>
      </c>
    </row>
    <row r="523" spans="1:10" ht="27" customHeight="1">
      <c r="A523" s="28" t="s">
        <v>47</v>
      </c>
      <c r="B523" s="29" t="s">
        <v>321</v>
      </c>
      <c r="C523" s="28" t="s">
        <v>29</v>
      </c>
      <c r="D523" s="28" t="s">
        <v>322</v>
      </c>
      <c r="E523" s="211" t="s">
        <v>57</v>
      </c>
      <c r="F523" s="211"/>
      <c r="G523" s="30" t="s">
        <v>59</v>
      </c>
      <c r="H523" s="31">
        <v>5.9999999999999995E-4</v>
      </c>
      <c r="I523" s="32">
        <v>67.3</v>
      </c>
      <c r="J523" s="32">
        <v>0.04</v>
      </c>
    </row>
    <row r="524" spans="1:10" ht="21" customHeight="1">
      <c r="A524" s="21" t="s">
        <v>40</v>
      </c>
      <c r="B524" s="22" t="s">
        <v>325</v>
      </c>
      <c r="C524" s="21" t="s">
        <v>29</v>
      </c>
      <c r="D524" s="21" t="s">
        <v>326</v>
      </c>
      <c r="E524" s="210" t="s">
        <v>41</v>
      </c>
      <c r="F524" s="210"/>
      <c r="G524" s="23" t="s">
        <v>31</v>
      </c>
      <c r="H524" s="24">
        <v>1.3889</v>
      </c>
      <c r="I524" s="25">
        <v>36.14</v>
      </c>
      <c r="J524" s="25">
        <v>50.19</v>
      </c>
    </row>
    <row r="525" spans="1:10" ht="27.6">
      <c r="A525" s="26"/>
      <c r="B525" s="26"/>
      <c r="C525" s="26"/>
      <c r="D525" s="26"/>
      <c r="E525" s="161" t="s">
        <v>42</v>
      </c>
      <c r="F525" s="162">
        <v>13.44</v>
      </c>
      <c r="G525" s="26" t="s">
        <v>43</v>
      </c>
      <c r="H525" s="27">
        <v>0</v>
      </c>
      <c r="I525" s="26" t="s">
        <v>44</v>
      </c>
      <c r="J525" s="27">
        <v>13.44</v>
      </c>
    </row>
    <row r="526" spans="1:10" ht="15" customHeight="1" thickBot="1">
      <c r="A526" s="159"/>
      <c r="B526" s="159"/>
      <c r="C526" s="159"/>
      <c r="D526" s="159"/>
      <c r="E526" s="163" t="s">
        <v>45</v>
      </c>
      <c r="F526" s="164">
        <v>21.21</v>
      </c>
      <c r="G526" s="159"/>
      <c r="H526" s="213" t="s">
        <v>46</v>
      </c>
      <c r="I526" s="213"/>
      <c r="J526" s="160">
        <v>94.81</v>
      </c>
    </row>
    <row r="527" spans="1:10" ht="18" customHeight="1" thickTop="1">
      <c r="A527" s="42" t="s">
        <v>496</v>
      </c>
      <c r="B527" s="43" t="s">
        <v>18</v>
      </c>
      <c r="C527" s="42" t="s">
        <v>19</v>
      </c>
      <c r="D527" s="42" t="s">
        <v>6</v>
      </c>
      <c r="E527" s="212" t="s">
        <v>37</v>
      </c>
      <c r="F527" s="212"/>
      <c r="G527" s="44" t="s">
        <v>20</v>
      </c>
      <c r="H527" s="43" t="s">
        <v>21</v>
      </c>
      <c r="I527" s="43" t="s">
        <v>22</v>
      </c>
      <c r="J527" s="43" t="s">
        <v>7</v>
      </c>
    </row>
    <row r="528" spans="1:10" ht="27" customHeight="1">
      <c r="A528" s="154" t="s">
        <v>38</v>
      </c>
      <c r="B528" s="155" t="s">
        <v>652</v>
      </c>
      <c r="C528" s="154" t="s">
        <v>29</v>
      </c>
      <c r="D528" s="154" t="s">
        <v>653</v>
      </c>
      <c r="E528" s="214" t="s">
        <v>55</v>
      </c>
      <c r="F528" s="214"/>
      <c r="G528" s="156" t="s">
        <v>31</v>
      </c>
      <c r="H528" s="157">
        <v>1</v>
      </c>
      <c r="I528" s="158">
        <v>741.5200000000001</v>
      </c>
      <c r="J528" s="158">
        <v>741.52</v>
      </c>
    </row>
    <row r="529" spans="1:10" ht="27" customHeight="1">
      <c r="A529" s="28" t="s">
        <v>47</v>
      </c>
      <c r="B529" s="29" t="s">
        <v>327</v>
      </c>
      <c r="C529" s="28" t="s">
        <v>29</v>
      </c>
      <c r="D529" s="28" t="s">
        <v>862</v>
      </c>
      <c r="E529" s="211" t="s">
        <v>55</v>
      </c>
      <c r="F529" s="211"/>
      <c r="G529" s="30" t="s">
        <v>31</v>
      </c>
      <c r="H529" s="31">
        <v>1.1299999999999999</v>
      </c>
      <c r="I529" s="32">
        <v>513.46</v>
      </c>
      <c r="J529" s="32">
        <v>580.20000000000005</v>
      </c>
    </row>
    <row r="530" spans="1:10" ht="27" customHeight="1">
      <c r="A530" s="28" t="s">
        <v>47</v>
      </c>
      <c r="B530" s="29" t="s">
        <v>52</v>
      </c>
      <c r="C530" s="28" t="s">
        <v>29</v>
      </c>
      <c r="D530" s="28" t="s">
        <v>53</v>
      </c>
      <c r="E530" s="211" t="s">
        <v>50</v>
      </c>
      <c r="F530" s="211"/>
      <c r="G530" s="30" t="s">
        <v>51</v>
      </c>
      <c r="H530" s="31">
        <v>5.4370000000000003</v>
      </c>
      <c r="I530" s="32">
        <v>24.36</v>
      </c>
      <c r="J530" s="32">
        <v>132.44</v>
      </c>
    </row>
    <row r="531" spans="1:10" ht="27" customHeight="1">
      <c r="A531" s="28" t="s">
        <v>47</v>
      </c>
      <c r="B531" s="29" t="s">
        <v>48</v>
      </c>
      <c r="C531" s="28" t="s">
        <v>29</v>
      </c>
      <c r="D531" s="28" t="s">
        <v>49</v>
      </c>
      <c r="E531" s="211" t="s">
        <v>50</v>
      </c>
      <c r="F531" s="211"/>
      <c r="G531" s="30" t="s">
        <v>51</v>
      </c>
      <c r="H531" s="31">
        <v>1.4830000000000001</v>
      </c>
      <c r="I531" s="32">
        <v>19.48</v>
      </c>
      <c r="J531" s="32">
        <v>28.88</v>
      </c>
    </row>
    <row r="532" spans="1:10" ht="27.6">
      <c r="A532" s="26"/>
      <c r="B532" s="26"/>
      <c r="C532" s="26"/>
      <c r="D532" s="26"/>
      <c r="E532" s="161" t="s">
        <v>42</v>
      </c>
      <c r="F532" s="162">
        <v>164.11</v>
      </c>
      <c r="G532" s="26" t="s">
        <v>43</v>
      </c>
      <c r="H532" s="27">
        <v>0</v>
      </c>
      <c r="I532" s="26" t="s">
        <v>44</v>
      </c>
      <c r="J532" s="27">
        <v>164.11</v>
      </c>
    </row>
    <row r="533" spans="1:10" ht="15" customHeight="1" thickBot="1">
      <c r="A533" s="159"/>
      <c r="B533" s="159"/>
      <c r="C533" s="159"/>
      <c r="D533" s="159"/>
      <c r="E533" s="163" t="s">
        <v>45</v>
      </c>
      <c r="F533" s="164">
        <v>213.7</v>
      </c>
      <c r="G533" s="159"/>
      <c r="H533" s="213" t="s">
        <v>46</v>
      </c>
      <c r="I533" s="213"/>
      <c r="J533" s="160">
        <v>955.22</v>
      </c>
    </row>
    <row r="534" spans="1:10" ht="18" customHeight="1" thickTop="1">
      <c r="A534" s="42" t="s">
        <v>498</v>
      </c>
      <c r="B534" s="43" t="s">
        <v>18</v>
      </c>
      <c r="C534" s="42" t="s">
        <v>19</v>
      </c>
      <c r="D534" s="42" t="s">
        <v>6</v>
      </c>
      <c r="E534" s="212" t="s">
        <v>37</v>
      </c>
      <c r="F534" s="212"/>
      <c r="G534" s="44" t="s">
        <v>20</v>
      </c>
      <c r="H534" s="43" t="s">
        <v>21</v>
      </c>
      <c r="I534" s="43" t="s">
        <v>22</v>
      </c>
      <c r="J534" s="43" t="s">
        <v>7</v>
      </c>
    </row>
    <row r="535" spans="1:10" ht="27" customHeight="1">
      <c r="A535" s="154" t="s">
        <v>38</v>
      </c>
      <c r="B535" s="155" t="s">
        <v>654</v>
      </c>
      <c r="C535" s="154" t="s">
        <v>29</v>
      </c>
      <c r="D535" s="154" t="s">
        <v>655</v>
      </c>
      <c r="E535" s="214" t="s">
        <v>73</v>
      </c>
      <c r="F535" s="214"/>
      <c r="G535" s="156" t="s">
        <v>27</v>
      </c>
      <c r="H535" s="157">
        <v>1</v>
      </c>
      <c r="I535" s="158">
        <v>53.300000000000004</v>
      </c>
      <c r="J535" s="158">
        <v>53.3</v>
      </c>
    </row>
    <row r="536" spans="1:10" ht="27" customHeight="1">
      <c r="A536" s="28" t="s">
        <v>47</v>
      </c>
      <c r="B536" s="29" t="s">
        <v>52</v>
      </c>
      <c r="C536" s="28" t="s">
        <v>29</v>
      </c>
      <c r="D536" s="28" t="s">
        <v>53</v>
      </c>
      <c r="E536" s="211" t="s">
        <v>50</v>
      </c>
      <c r="F536" s="211"/>
      <c r="G536" s="30" t="s">
        <v>51</v>
      </c>
      <c r="H536" s="31">
        <v>0.38900000000000001</v>
      </c>
      <c r="I536" s="32">
        <v>24.36</v>
      </c>
      <c r="J536" s="32">
        <v>9.4700000000000006</v>
      </c>
    </row>
    <row r="537" spans="1:10" ht="27" customHeight="1">
      <c r="A537" s="28" t="s">
        <v>47</v>
      </c>
      <c r="B537" s="29" t="s">
        <v>48</v>
      </c>
      <c r="C537" s="28" t="s">
        <v>29</v>
      </c>
      <c r="D537" s="28" t="s">
        <v>49</v>
      </c>
      <c r="E537" s="211" t="s">
        <v>50</v>
      </c>
      <c r="F537" s="211"/>
      <c r="G537" s="30" t="s">
        <v>51</v>
      </c>
      <c r="H537" s="31">
        <v>0.19500000000000001</v>
      </c>
      <c r="I537" s="32">
        <v>19.48</v>
      </c>
      <c r="J537" s="32">
        <v>3.79</v>
      </c>
    </row>
    <row r="538" spans="1:10" ht="27" customHeight="1">
      <c r="A538" s="28" t="s">
        <v>47</v>
      </c>
      <c r="B538" s="29" t="s">
        <v>371</v>
      </c>
      <c r="C538" s="28" t="s">
        <v>29</v>
      </c>
      <c r="D538" s="28" t="s">
        <v>372</v>
      </c>
      <c r="E538" s="211" t="s">
        <v>50</v>
      </c>
      <c r="F538" s="211"/>
      <c r="G538" s="30" t="s">
        <v>31</v>
      </c>
      <c r="H538" s="31">
        <v>4.3099999999999999E-2</v>
      </c>
      <c r="I538" s="32">
        <v>867.02</v>
      </c>
      <c r="J538" s="32">
        <v>37.36</v>
      </c>
    </row>
    <row r="539" spans="1:10" ht="27" customHeight="1">
      <c r="A539" s="21" t="s">
        <v>40</v>
      </c>
      <c r="B539" s="22" t="s">
        <v>373</v>
      </c>
      <c r="C539" s="21" t="s">
        <v>29</v>
      </c>
      <c r="D539" s="21" t="s">
        <v>374</v>
      </c>
      <c r="E539" s="210" t="s">
        <v>41</v>
      </c>
      <c r="F539" s="210"/>
      <c r="G539" s="23" t="s">
        <v>32</v>
      </c>
      <c r="H539" s="24">
        <v>1.67</v>
      </c>
      <c r="I539" s="25">
        <v>1.27</v>
      </c>
      <c r="J539" s="25">
        <v>2.12</v>
      </c>
    </row>
    <row r="540" spans="1:10" ht="21" customHeight="1">
      <c r="A540" s="21" t="s">
        <v>40</v>
      </c>
      <c r="B540" s="22" t="s">
        <v>77</v>
      </c>
      <c r="C540" s="21" t="s">
        <v>29</v>
      </c>
      <c r="D540" s="21" t="s">
        <v>78</v>
      </c>
      <c r="E540" s="210" t="s">
        <v>41</v>
      </c>
      <c r="F540" s="210"/>
      <c r="G540" s="23" t="s">
        <v>54</v>
      </c>
      <c r="H540" s="24">
        <v>0.5</v>
      </c>
      <c r="I540" s="25">
        <v>1.1200000000000001</v>
      </c>
      <c r="J540" s="25">
        <v>0.56000000000000005</v>
      </c>
    </row>
    <row r="541" spans="1:10" ht="27.6">
      <c r="A541" s="26"/>
      <c r="B541" s="26"/>
      <c r="C541" s="26"/>
      <c r="D541" s="26"/>
      <c r="E541" s="161" t="s">
        <v>42</v>
      </c>
      <c r="F541" s="162">
        <v>11.96</v>
      </c>
      <c r="G541" s="26" t="s">
        <v>43</v>
      </c>
      <c r="H541" s="27">
        <v>0</v>
      </c>
      <c r="I541" s="26" t="s">
        <v>44</v>
      </c>
      <c r="J541" s="27">
        <v>11.96</v>
      </c>
    </row>
    <row r="542" spans="1:10" ht="15" customHeight="1" thickBot="1">
      <c r="A542" s="159"/>
      <c r="B542" s="159"/>
      <c r="C542" s="159"/>
      <c r="D542" s="159"/>
      <c r="E542" s="163" t="s">
        <v>45</v>
      </c>
      <c r="F542" s="164">
        <v>15.36</v>
      </c>
      <c r="G542" s="159"/>
      <c r="H542" s="213" t="s">
        <v>46</v>
      </c>
      <c r="I542" s="213"/>
      <c r="J542" s="160">
        <v>68.66</v>
      </c>
    </row>
    <row r="543" spans="1:10" ht="18" customHeight="1" thickTop="1">
      <c r="A543" s="42" t="s">
        <v>501</v>
      </c>
      <c r="B543" s="43" t="s">
        <v>18</v>
      </c>
      <c r="C543" s="42" t="s">
        <v>19</v>
      </c>
      <c r="D543" s="42" t="s">
        <v>6</v>
      </c>
      <c r="E543" s="212" t="s">
        <v>37</v>
      </c>
      <c r="F543" s="212"/>
      <c r="G543" s="44" t="s">
        <v>20</v>
      </c>
      <c r="H543" s="43" t="s">
        <v>21</v>
      </c>
      <c r="I543" s="43" t="s">
        <v>22</v>
      </c>
      <c r="J543" s="43" t="s">
        <v>7</v>
      </c>
    </row>
    <row r="544" spans="1:10" ht="27" customHeight="1">
      <c r="A544" s="154" t="s">
        <v>38</v>
      </c>
      <c r="B544" s="155" t="s">
        <v>656</v>
      </c>
      <c r="C544" s="154" t="s">
        <v>29</v>
      </c>
      <c r="D544" s="154" t="s">
        <v>657</v>
      </c>
      <c r="E544" s="214" t="s">
        <v>863</v>
      </c>
      <c r="F544" s="214"/>
      <c r="G544" s="156" t="s">
        <v>27</v>
      </c>
      <c r="H544" s="157">
        <v>1</v>
      </c>
      <c r="I544" s="158">
        <v>16.71</v>
      </c>
      <c r="J544" s="158">
        <v>16.71</v>
      </c>
    </row>
    <row r="545" spans="1:10" ht="27" customHeight="1">
      <c r="A545" s="28" t="s">
        <v>47</v>
      </c>
      <c r="B545" s="29" t="s">
        <v>864</v>
      </c>
      <c r="C545" s="28" t="s">
        <v>29</v>
      </c>
      <c r="D545" s="28" t="s">
        <v>865</v>
      </c>
      <c r="E545" s="211" t="s">
        <v>50</v>
      </c>
      <c r="F545" s="211"/>
      <c r="G545" s="30" t="s">
        <v>51</v>
      </c>
      <c r="H545" s="31">
        <v>3.9100000000000003E-2</v>
      </c>
      <c r="I545" s="32">
        <v>20.5</v>
      </c>
      <c r="J545" s="32">
        <v>0.8</v>
      </c>
    </row>
    <row r="546" spans="1:10" ht="27" customHeight="1">
      <c r="A546" s="28" t="s">
        <v>47</v>
      </c>
      <c r="B546" s="29" t="s">
        <v>48</v>
      </c>
      <c r="C546" s="28" t="s">
        <v>29</v>
      </c>
      <c r="D546" s="28" t="s">
        <v>49</v>
      </c>
      <c r="E546" s="211" t="s">
        <v>50</v>
      </c>
      <c r="F546" s="211"/>
      <c r="G546" s="30" t="s">
        <v>51</v>
      </c>
      <c r="H546" s="31">
        <v>0.15640000000000001</v>
      </c>
      <c r="I546" s="32">
        <v>19.48</v>
      </c>
      <c r="J546" s="32">
        <v>3.04</v>
      </c>
    </row>
    <row r="547" spans="1:10" ht="21" customHeight="1">
      <c r="A547" s="21" t="s">
        <v>40</v>
      </c>
      <c r="B547" s="22" t="s">
        <v>866</v>
      </c>
      <c r="C547" s="21" t="s">
        <v>29</v>
      </c>
      <c r="D547" s="21" t="s">
        <v>867</v>
      </c>
      <c r="E547" s="210" t="s">
        <v>41</v>
      </c>
      <c r="F547" s="210"/>
      <c r="G547" s="23" t="s">
        <v>27</v>
      </c>
      <c r="H547" s="24">
        <v>1</v>
      </c>
      <c r="I547" s="25">
        <v>12.87</v>
      </c>
      <c r="J547" s="25">
        <v>12.87</v>
      </c>
    </row>
    <row r="548" spans="1:10" ht="27.6">
      <c r="A548" s="26"/>
      <c r="B548" s="26"/>
      <c r="C548" s="26"/>
      <c r="D548" s="26"/>
      <c r="E548" s="161" t="s">
        <v>42</v>
      </c>
      <c r="F548" s="162">
        <v>2.4500000000000002</v>
      </c>
      <c r="G548" s="26" t="s">
        <v>43</v>
      </c>
      <c r="H548" s="27">
        <v>0</v>
      </c>
      <c r="I548" s="26" t="s">
        <v>44</v>
      </c>
      <c r="J548" s="27">
        <v>2.4500000000000002</v>
      </c>
    </row>
    <row r="549" spans="1:10" ht="15" customHeight="1" thickBot="1">
      <c r="A549" s="159"/>
      <c r="B549" s="159"/>
      <c r="C549" s="159"/>
      <c r="D549" s="159"/>
      <c r="E549" s="163" t="s">
        <v>45</v>
      </c>
      <c r="F549" s="164">
        <v>4.8099999999999996</v>
      </c>
      <c r="G549" s="159"/>
      <c r="H549" s="213" t="s">
        <v>46</v>
      </c>
      <c r="I549" s="213"/>
      <c r="J549" s="160">
        <v>21.52</v>
      </c>
    </row>
    <row r="550" spans="1:10" ht="18" customHeight="1" thickTop="1">
      <c r="A550" s="42" t="s">
        <v>504</v>
      </c>
      <c r="B550" s="43" t="s">
        <v>18</v>
      </c>
      <c r="C550" s="42" t="s">
        <v>19</v>
      </c>
      <c r="D550" s="42" t="s">
        <v>6</v>
      </c>
      <c r="E550" s="212" t="s">
        <v>37</v>
      </c>
      <c r="F550" s="212"/>
      <c r="G550" s="44" t="s">
        <v>20</v>
      </c>
      <c r="H550" s="43" t="s">
        <v>21</v>
      </c>
      <c r="I550" s="43" t="s">
        <v>22</v>
      </c>
      <c r="J550" s="43" t="s">
        <v>7</v>
      </c>
    </row>
    <row r="551" spans="1:10" ht="27" customHeight="1">
      <c r="A551" s="154" t="s">
        <v>38</v>
      </c>
      <c r="B551" s="155" t="s">
        <v>659</v>
      </c>
      <c r="C551" s="154" t="s">
        <v>29</v>
      </c>
      <c r="D551" s="154" t="s">
        <v>660</v>
      </c>
      <c r="E551" s="214" t="s">
        <v>713</v>
      </c>
      <c r="F551" s="214"/>
      <c r="G551" s="156" t="s">
        <v>32</v>
      </c>
      <c r="H551" s="157">
        <v>1</v>
      </c>
      <c r="I551" s="158">
        <v>12.319999999999999</v>
      </c>
      <c r="J551" s="158">
        <v>12.32</v>
      </c>
    </row>
    <row r="552" spans="1:10" ht="27" customHeight="1">
      <c r="A552" s="28" t="s">
        <v>47</v>
      </c>
      <c r="B552" s="29" t="s">
        <v>854</v>
      </c>
      <c r="C552" s="28" t="s">
        <v>29</v>
      </c>
      <c r="D552" s="28" t="s">
        <v>855</v>
      </c>
      <c r="E552" s="211" t="s">
        <v>57</v>
      </c>
      <c r="F552" s="211"/>
      <c r="G552" s="30" t="s">
        <v>58</v>
      </c>
      <c r="H552" s="31">
        <v>8.7800000000000003E-2</v>
      </c>
      <c r="I552" s="32">
        <v>32.79</v>
      </c>
      <c r="J552" s="32">
        <v>2.87</v>
      </c>
    </row>
    <row r="553" spans="1:10" ht="27" customHeight="1">
      <c r="A553" s="28" t="s">
        <v>47</v>
      </c>
      <c r="B553" s="29" t="s">
        <v>860</v>
      </c>
      <c r="C553" s="28" t="s">
        <v>29</v>
      </c>
      <c r="D553" s="28" t="s">
        <v>861</v>
      </c>
      <c r="E553" s="211" t="s">
        <v>57</v>
      </c>
      <c r="F553" s="211"/>
      <c r="G553" s="30" t="s">
        <v>58</v>
      </c>
      <c r="H553" s="31">
        <v>8.7800000000000003E-2</v>
      </c>
      <c r="I553" s="32">
        <v>20.99</v>
      </c>
      <c r="J553" s="32">
        <v>1.84</v>
      </c>
    </row>
    <row r="554" spans="1:10" ht="27" customHeight="1">
      <c r="A554" s="28" t="s">
        <v>47</v>
      </c>
      <c r="B554" s="29" t="s">
        <v>858</v>
      </c>
      <c r="C554" s="28" t="s">
        <v>29</v>
      </c>
      <c r="D554" s="28" t="s">
        <v>859</v>
      </c>
      <c r="E554" s="211" t="s">
        <v>57</v>
      </c>
      <c r="F554" s="211"/>
      <c r="G554" s="30" t="s">
        <v>59</v>
      </c>
      <c r="H554" s="31">
        <v>6.7199999999999996E-2</v>
      </c>
      <c r="I554" s="32">
        <v>8.32</v>
      </c>
      <c r="J554" s="32">
        <v>0.55000000000000004</v>
      </c>
    </row>
    <row r="555" spans="1:10" ht="27" customHeight="1">
      <c r="A555" s="28" t="s">
        <v>47</v>
      </c>
      <c r="B555" s="29" t="s">
        <v>52</v>
      </c>
      <c r="C555" s="28" t="s">
        <v>29</v>
      </c>
      <c r="D555" s="28" t="s">
        <v>53</v>
      </c>
      <c r="E555" s="211" t="s">
        <v>50</v>
      </c>
      <c r="F555" s="211"/>
      <c r="G555" s="30" t="s">
        <v>51</v>
      </c>
      <c r="H555" s="31">
        <v>0.1759</v>
      </c>
      <c r="I555" s="32">
        <v>24.36</v>
      </c>
      <c r="J555" s="32">
        <v>4.28</v>
      </c>
    </row>
    <row r="556" spans="1:10" ht="27" customHeight="1">
      <c r="A556" s="28" t="s">
        <v>47</v>
      </c>
      <c r="B556" s="29" t="s">
        <v>856</v>
      </c>
      <c r="C556" s="28" t="s">
        <v>29</v>
      </c>
      <c r="D556" s="28" t="s">
        <v>857</v>
      </c>
      <c r="E556" s="211" t="s">
        <v>57</v>
      </c>
      <c r="F556" s="211"/>
      <c r="G556" s="30" t="s">
        <v>59</v>
      </c>
      <c r="H556" s="31">
        <v>6.7199999999999996E-2</v>
      </c>
      <c r="I556" s="32">
        <v>19.149999999999999</v>
      </c>
      <c r="J556" s="32">
        <v>1.28</v>
      </c>
    </row>
    <row r="557" spans="1:10" ht="27" customHeight="1">
      <c r="A557" s="28" t="s">
        <v>47</v>
      </c>
      <c r="B557" s="29" t="s">
        <v>48</v>
      </c>
      <c r="C557" s="28" t="s">
        <v>29</v>
      </c>
      <c r="D557" s="28" t="s">
        <v>49</v>
      </c>
      <c r="E557" s="211" t="s">
        <v>50</v>
      </c>
      <c r="F557" s="211"/>
      <c r="G557" s="30" t="s">
        <v>51</v>
      </c>
      <c r="H557" s="31">
        <v>7.7200000000000005E-2</v>
      </c>
      <c r="I557" s="32">
        <v>19.48</v>
      </c>
      <c r="J557" s="32">
        <v>1.5</v>
      </c>
    </row>
    <row r="558" spans="1:10" ht="27.6">
      <c r="A558" s="26"/>
      <c r="B558" s="26"/>
      <c r="C558" s="26"/>
      <c r="D558" s="26"/>
      <c r="E558" s="161" t="s">
        <v>42</v>
      </c>
      <c r="F558" s="162">
        <v>5.71</v>
      </c>
      <c r="G558" s="26" t="s">
        <v>43</v>
      </c>
      <c r="H558" s="27">
        <v>0</v>
      </c>
      <c r="I558" s="26" t="s">
        <v>44</v>
      </c>
      <c r="J558" s="27">
        <v>5.71</v>
      </c>
    </row>
    <row r="559" spans="1:10" ht="15" customHeight="1" thickBot="1">
      <c r="A559" s="159"/>
      <c r="B559" s="159"/>
      <c r="C559" s="159"/>
      <c r="D559" s="159"/>
      <c r="E559" s="163" t="s">
        <v>45</v>
      </c>
      <c r="F559" s="164">
        <v>3.55</v>
      </c>
      <c r="G559" s="159"/>
      <c r="H559" s="213" t="s">
        <v>46</v>
      </c>
      <c r="I559" s="213"/>
      <c r="J559" s="160">
        <v>15.870000000000001</v>
      </c>
    </row>
    <row r="560" spans="1:10" ht="18" customHeight="1" thickTop="1">
      <c r="A560" s="42" t="s">
        <v>505</v>
      </c>
      <c r="B560" s="43" t="s">
        <v>18</v>
      </c>
      <c r="C560" s="42" t="s">
        <v>19</v>
      </c>
      <c r="D560" s="42" t="s">
        <v>6</v>
      </c>
      <c r="E560" s="212" t="s">
        <v>37</v>
      </c>
      <c r="F560" s="212"/>
      <c r="G560" s="44" t="s">
        <v>20</v>
      </c>
      <c r="H560" s="43" t="s">
        <v>21</v>
      </c>
      <c r="I560" s="43" t="s">
        <v>22</v>
      </c>
      <c r="J560" s="43" t="s">
        <v>7</v>
      </c>
    </row>
    <row r="561" spans="1:10" ht="27" customHeight="1">
      <c r="A561" s="154" t="s">
        <v>38</v>
      </c>
      <c r="B561" s="155" t="s">
        <v>661</v>
      </c>
      <c r="C561" s="154" t="s">
        <v>29</v>
      </c>
      <c r="D561" s="154" t="s">
        <v>662</v>
      </c>
      <c r="E561" s="214" t="s">
        <v>375</v>
      </c>
      <c r="F561" s="214"/>
      <c r="G561" s="156" t="s">
        <v>32</v>
      </c>
      <c r="H561" s="157">
        <v>1</v>
      </c>
      <c r="I561" s="158">
        <v>38.22</v>
      </c>
      <c r="J561" s="158">
        <v>38.22</v>
      </c>
    </row>
    <row r="562" spans="1:10" ht="27" customHeight="1">
      <c r="A562" s="28" t="s">
        <v>47</v>
      </c>
      <c r="B562" s="29" t="s">
        <v>48</v>
      </c>
      <c r="C562" s="28" t="s">
        <v>29</v>
      </c>
      <c r="D562" s="28" t="s">
        <v>49</v>
      </c>
      <c r="E562" s="211" t="s">
        <v>50</v>
      </c>
      <c r="F562" s="211"/>
      <c r="G562" s="30" t="s">
        <v>51</v>
      </c>
      <c r="H562" s="31">
        <v>0.442</v>
      </c>
      <c r="I562" s="32">
        <v>19.48</v>
      </c>
      <c r="J562" s="32">
        <v>8.61</v>
      </c>
    </row>
    <row r="563" spans="1:10" ht="27" customHeight="1">
      <c r="A563" s="28" t="s">
        <v>47</v>
      </c>
      <c r="B563" s="29" t="s">
        <v>316</v>
      </c>
      <c r="C563" s="28" t="s">
        <v>29</v>
      </c>
      <c r="D563" s="28" t="s">
        <v>356</v>
      </c>
      <c r="E563" s="211" t="s">
        <v>50</v>
      </c>
      <c r="F563" s="211"/>
      <c r="G563" s="30" t="s">
        <v>31</v>
      </c>
      <c r="H563" s="31">
        <v>2E-3</v>
      </c>
      <c r="I563" s="32">
        <v>712.13</v>
      </c>
      <c r="J563" s="32">
        <v>1.42</v>
      </c>
    </row>
    <row r="564" spans="1:10" ht="27" customHeight="1">
      <c r="A564" s="28" t="s">
        <v>47</v>
      </c>
      <c r="B564" s="29" t="s">
        <v>868</v>
      </c>
      <c r="C564" s="28" t="s">
        <v>29</v>
      </c>
      <c r="D564" s="28" t="s">
        <v>869</v>
      </c>
      <c r="E564" s="211" t="s">
        <v>57</v>
      </c>
      <c r="F564" s="211"/>
      <c r="G564" s="30" t="s">
        <v>58</v>
      </c>
      <c r="H564" s="31">
        <v>1.4E-2</v>
      </c>
      <c r="I564" s="32">
        <v>19.97</v>
      </c>
      <c r="J564" s="32">
        <v>0.27</v>
      </c>
    </row>
    <row r="565" spans="1:10" ht="27" customHeight="1">
      <c r="A565" s="28" t="s">
        <v>47</v>
      </c>
      <c r="B565" s="29" t="s">
        <v>52</v>
      </c>
      <c r="C565" s="28" t="s">
        <v>29</v>
      </c>
      <c r="D565" s="28" t="s">
        <v>53</v>
      </c>
      <c r="E565" s="211" t="s">
        <v>50</v>
      </c>
      <c r="F565" s="211"/>
      <c r="G565" s="30" t="s">
        <v>51</v>
      </c>
      <c r="H565" s="31">
        <v>0.221</v>
      </c>
      <c r="I565" s="32">
        <v>24.36</v>
      </c>
      <c r="J565" s="32">
        <v>5.38</v>
      </c>
    </row>
    <row r="566" spans="1:10" ht="27" customHeight="1">
      <c r="A566" s="28" t="s">
        <v>47</v>
      </c>
      <c r="B566" s="29" t="s">
        <v>698</v>
      </c>
      <c r="C566" s="28" t="s">
        <v>29</v>
      </c>
      <c r="D566" s="28" t="s">
        <v>699</v>
      </c>
      <c r="E566" s="211" t="s">
        <v>50</v>
      </c>
      <c r="F566" s="211"/>
      <c r="G566" s="30" t="s">
        <v>51</v>
      </c>
      <c r="H566" s="31">
        <v>8.6999999999999994E-2</v>
      </c>
      <c r="I566" s="32">
        <v>20.2</v>
      </c>
      <c r="J566" s="32">
        <v>1.75</v>
      </c>
    </row>
    <row r="567" spans="1:10" ht="27" customHeight="1">
      <c r="A567" s="28" t="s">
        <v>47</v>
      </c>
      <c r="B567" s="29" t="s">
        <v>870</v>
      </c>
      <c r="C567" s="28" t="s">
        <v>29</v>
      </c>
      <c r="D567" s="28" t="s">
        <v>871</v>
      </c>
      <c r="E567" s="211" t="s">
        <v>57</v>
      </c>
      <c r="F567" s="211"/>
      <c r="G567" s="30" t="s">
        <v>59</v>
      </c>
      <c r="H567" s="31">
        <v>7.1999999999999995E-2</v>
      </c>
      <c r="I567" s="32">
        <v>5.23</v>
      </c>
      <c r="J567" s="32">
        <v>0.37</v>
      </c>
    </row>
    <row r="568" spans="1:10" ht="21" customHeight="1">
      <c r="A568" s="21" t="s">
        <v>40</v>
      </c>
      <c r="B568" s="22" t="s">
        <v>369</v>
      </c>
      <c r="C568" s="21" t="s">
        <v>29</v>
      </c>
      <c r="D568" s="21" t="s">
        <v>370</v>
      </c>
      <c r="E568" s="210" t="s">
        <v>41</v>
      </c>
      <c r="F568" s="210"/>
      <c r="G568" s="23" t="s">
        <v>31</v>
      </c>
      <c r="H568" s="24">
        <v>7.0000000000000001E-3</v>
      </c>
      <c r="I568" s="25">
        <v>96.52</v>
      </c>
      <c r="J568" s="25">
        <v>0.67</v>
      </c>
    </row>
    <row r="569" spans="1:10" ht="27" customHeight="1">
      <c r="A569" s="21" t="s">
        <v>40</v>
      </c>
      <c r="B569" s="22" t="s">
        <v>872</v>
      </c>
      <c r="C569" s="21" t="s">
        <v>29</v>
      </c>
      <c r="D569" s="21" t="s">
        <v>873</v>
      </c>
      <c r="E569" s="210" t="s">
        <v>41</v>
      </c>
      <c r="F569" s="210"/>
      <c r="G569" s="23" t="s">
        <v>31</v>
      </c>
      <c r="H569" s="24">
        <v>0.03</v>
      </c>
      <c r="I569" s="25">
        <v>658.35</v>
      </c>
      <c r="J569" s="25">
        <v>19.75</v>
      </c>
    </row>
    <row r="570" spans="1:10" ht="27.6">
      <c r="A570" s="26"/>
      <c r="B570" s="26"/>
      <c r="C570" s="26"/>
      <c r="D570" s="26"/>
      <c r="E570" s="161" t="s">
        <v>42</v>
      </c>
      <c r="F570" s="162">
        <v>10.62</v>
      </c>
      <c r="G570" s="26" t="s">
        <v>43</v>
      </c>
      <c r="H570" s="27">
        <v>0</v>
      </c>
      <c r="I570" s="26" t="s">
        <v>44</v>
      </c>
      <c r="J570" s="27">
        <v>10.62</v>
      </c>
    </row>
    <row r="571" spans="1:10" ht="15" customHeight="1" thickBot="1">
      <c r="A571" s="159"/>
      <c r="B571" s="159"/>
      <c r="C571" s="159"/>
      <c r="D571" s="159"/>
      <c r="E571" s="163" t="s">
        <v>45</v>
      </c>
      <c r="F571" s="164">
        <v>11.01</v>
      </c>
      <c r="G571" s="159"/>
      <c r="H571" s="213" t="s">
        <v>46</v>
      </c>
      <c r="I571" s="213"/>
      <c r="J571" s="160">
        <v>49.23</v>
      </c>
    </row>
    <row r="572" spans="1:10" ht="18" customHeight="1" thickTop="1">
      <c r="A572" s="42" t="s">
        <v>663</v>
      </c>
      <c r="B572" s="43" t="s">
        <v>18</v>
      </c>
      <c r="C572" s="42" t="s">
        <v>19</v>
      </c>
      <c r="D572" s="42" t="s">
        <v>6</v>
      </c>
      <c r="E572" s="212" t="s">
        <v>37</v>
      </c>
      <c r="F572" s="212"/>
      <c r="G572" s="44" t="s">
        <v>20</v>
      </c>
      <c r="H572" s="43" t="s">
        <v>21</v>
      </c>
      <c r="I572" s="43" t="s">
        <v>22</v>
      </c>
      <c r="J572" s="43" t="s">
        <v>7</v>
      </c>
    </row>
    <row r="573" spans="1:10" ht="21" customHeight="1">
      <c r="A573" s="154" t="s">
        <v>38</v>
      </c>
      <c r="B573" s="155" t="s">
        <v>664</v>
      </c>
      <c r="C573" s="154" t="s">
        <v>29</v>
      </c>
      <c r="D573" s="154" t="s">
        <v>665</v>
      </c>
      <c r="E573" s="214" t="s">
        <v>73</v>
      </c>
      <c r="F573" s="214"/>
      <c r="G573" s="156" t="s">
        <v>27</v>
      </c>
      <c r="H573" s="157">
        <v>1</v>
      </c>
      <c r="I573" s="158">
        <v>97.62</v>
      </c>
      <c r="J573" s="158">
        <v>97.62</v>
      </c>
    </row>
    <row r="574" spans="1:10" ht="27" customHeight="1">
      <c r="A574" s="28" t="s">
        <v>47</v>
      </c>
      <c r="B574" s="29" t="s">
        <v>52</v>
      </c>
      <c r="C574" s="28" t="s">
        <v>29</v>
      </c>
      <c r="D574" s="28" t="s">
        <v>53</v>
      </c>
      <c r="E574" s="211" t="s">
        <v>50</v>
      </c>
      <c r="F574" s="211"/>
      <c r="G574" s="30" t="s">
        <v>51</v>
      </c>
      <c r="H574" s="31">
        <v>0.1119</v>
      </c>
      <c r="I574" s="32">
        <v>24.36</v>
      </c>
      <c r="J574" s="32">
        <v>2.72</v>
      </c>
    </row>
    <row r="575" spans="1:10" ht="27" customHeight="1">
      <c r="A575" s="28" t="s">
        <v>47</v>
      </c>
      <c r="B575" s="29" t="s">
        <v>48</v>
      </c>
      <c r="C575" s="28" t="s">
        <v>29</v>
      </c>
      <c r="D575" s="28" t="s">
        <v>49</v>
      </c>
      <c r="E575" s="211" t="s">
        <v>50</v>
      </c>
      <c r="F575" s="211"/>
      <c r="G575" s="30" t="s">
        <v>51</v>
      </c>
      <c r="H575" s="31">
        <v>4.6600000000000003E-2</v>
      </c>
      <c r="I575" s="32">
        <v>19.48</v>
      </c>
      <c r="J575" s="32">
        <v>0.9</v>
      </c>
    </row>
    <row r="576" spans="1:10" ht="27" customHeight="1">
      <c r="A576" s="28" t="s">
        <v>47</v>
      </c>
      <c r="B576" s="29" t="s">
        <v>874</v>
      </c>
      <c r="C576" s="28" t="s">
        <v>29</v>
      </c>
      <c r="D576" s="28" t="s">
        <v>875</v>
      </c>
      <c r="E576" s="211" t="s">
        <v>57</v>
      </c>
      <c r="F576" s="211"/>
      <c r="G576" s="30" t="s">
        <v>58</v>
      </c>
      <c r="H576" s="31">
        <v>7.0000000000000001E-3</v>
      </c>
      <c r="I576" s="32">
        <v>9.7100000000000009</v>
      </c>
      <c r="J576" s="32">
        <v>0.06</v>
      </c>
    </row>
    <row r="577" spans="1:10" ht="21" customHeight="1">
      <c r="A577" s="21" t="s">
        <v>40</v>
      </c>
      <c r="B577" s="22" t="s">
        <v>876</v>
      </c>
      <c r="C577" s="21" t="s">
        <v>29</v>
      </c>
      <c r="D577" s="21" t="s">
        <v>877</v>
      </c>
      <c r="E577" s="210" t="s">
        <v>41</v>
      </c>
      <c r="F577" s="210"/>
      <c r="G577" s="23" t="s">
        <v>54</v>
      </c>
      <c r="H577" s="24">
        <v>4</v>
      </c>
      <c r="I577" s="25">
        <v>10.09</v>
      </c>
      <c r="J577" s="25">
        <v>40.36</v>
      </c>
    </row>
    <row r="578" spans="1:10" ht="27" customHeight="1">
      <c r="A578" s="21" t="s">
        <v>40</v>
      </c>
      <c r="B578" s="22" t="s">
        <v>872</v>
      </c>
      <c r="C578" s="21" t="s">
        <v>29</v>
      </c>
      <c r="D578" s="21" t="s">
        <v>873</v>
      </c>
      <c r="E578" s="210" t="s">
        <v>41</v>
      </c>
      <c r="F578" s="210"/>
      <c r="G578" s="23" t="s">
        <v>31</v>
      </c>
      <c r="H578" s="24">
        <v>8.14E-2</v>
      </c>
      <c r="I578" s="25">
        <v>658.35</v>
      </c>
      <c r="J578" s="25">
        <v>53.58</v>
      </c>
    </row>
    <row r="579" spans="1:10" ht="27.6">
      <c r="A579" s="26"/>
      <c r="B579" s="26"/>
      <c r="C579" s="26"/>
      <c r="D579" s="26"/>
      <c r="E579" s="161" t="s">
        <v>42</v>
      </c>
      <c r="F579" s="162">
        <v>2.4900000000000002</v>
      </c>
      <c r="G579" s="26" t="s">
        <v>43</v>
      </c>
      <c r="H579" s="27">
        <v>0</v>
      </c>
      <c r="I579" s="26" t="s">
        <v>44</v>
      </c>
      <c r="J579" s="27">
        <v>2.4900000000000002</v>
      </c>
    </row>
    <row r="580" spans="1:10" ht="15" customHeight="1" thickBot="1">
      <c r="A580" s="159"/>
      <c r="B580" s="159"/>
      <c r="C580" s="159"/>
      <c r="D580" s="159"/>
      <c r="E580" s="163" t="s">
        <v>45</v>
      </c>
      <c r="F580" s="164">
        <v>28.13</v>
      </c>
      <c r="G580" s="159"/>
      <c r="H580" s="213" t="s">
        <v>46</v>
      </c>
      <c r="I580" s="213"/>
      <c r="J580" s="160">
        <v>125.75</v>
      </c>
    </row>
    <row r="581" spans="1:10" ht="18" customHeight="1" thickTop="1">
      <c r="A581" s="42" t="s">
        <v>666</v>
      </c>
      <c r="B581" s="43" t="s">
        <v>18</v>
      </c>
      <c r="C581" s="42" t="s">
        <v>19</v>
      </c>
      <c r="D581" s="42" t="s">
        <v>6</v>
      </c>
      <c r="E581" s="212" t="s">
        <v>37</v>
      </c>
      <c r="F581" s="212"/>
      <c r="G581" s="44" t="s">
        <v>20</v>
      </c>
      <c r="H581" s="43" t="s">
        <v>21</v>
      </c>
      <c r="I581" s="43" t="s">
        <v>22</v>
      </c>
      <c r="J581" s="43" t="s">
        <v>7</v>
      </c>
    </row>
    <row r="582" spans="1:10" ht="39" customHeight="1">
      <c r="A582" s="154" t="s">
        <v>38</v>
      </c>
      <c r="B582" s="155" t="s">
        <v>667</v>
      </c>
      <c r="C582" s="154" t="s">
        <v>29</v>
      </c>
      <c r="D582" s="154" t="s">
        <v>668</v>
      </c>
      <c r="E582" s="214" t="s">
        <v>378</v>
      </c>
      <c r="F582" s="214"/>
      <c r="G582" s="156" t="s">
        <v>27</v>
      </c>
      <c r="H582" s="157">
        <v>1</v>
      </c>
      <c r="I582" s="158">
        <v>34.32</v>
      </c>
      <c r="J582" s="158">
        <v>34.32</v>
      </c>
    </row>
    <row r="583" spans="1:10" ht="27" customHeight="1">
      <c r="A583" s="28" t="s">
        <v>47</v>
      </c>
      <c r="B583" s="29" t="s">
        <v>48</v>
      </c>
      <c r="C583" s="28" t="s">
        <v>29</v>
      </c>
      <c r="D583" s="28" t="s">
        <v>49</v>
      </c>
      <c r="E583" s="211" t="s">
        <v>50</v>
      </c>
      <c r="F583" s="211"/>
      <c r="G583" s="30" t="s">
        <v>51</v>
      </c>
      <c r="H583" s="31">
        <v>0.29759999999999998</v>
      </c>
      <c r="I583" s="32">
        <v>19.48</v>
      </c>
      <c r="J583" s="32">
        <v>5.79</v>
      </c>
    </row>
    <row r="584" spans="1:10" ht="27" customHeight="1">
      <c r="A584" s="28" t="s">
        <v>47</v>
      </c>
      <c r="B584" s="29" t="s">
        <v>878</v>
      </c>
      <c r="C584" s="28" t="s">
        <v>29</v>
      </c>
      <c r="D584" s="28" t="s">
        <v>879</v>
      </c>
      <c r="E584" s="211" t="s">
        <v>50</v>
      </c>
      <c r="F584" s="211"/>
      <c r="G584" s="30" t="s">
        <v>51</v>
      </c>
      <c r="H584" s="31">
        <v>0.29759999999999998</v>
      </c>
      <c r="I584" s="32">
        <v>22.59</v>
      </c>
      <c r="J584" s="32">
        <v>6.72</v>
      </c>
    </row>
    <row r="585" spans="1:10" ht="27" customHeight="1">
      <c r="A585" s="28" t="s">
        <v>47</v>
      </c>
      <c r="B585" s="29" t="s">
        <v>880</v>
      </c>
      <c r="C585" s="28" t="s">
        <v>29</v>
      </c>
      <c r="D585" s="28" t="s">
        <v>881</v>
      </c>
      <c r="E585" s="211" t="s">
        <v>57</v>
      </c>
      <c r="F585" s="211"/>
      <c r="G585" s="30" t="s">
        <v>58</v>
      </c>
      <c r="H585" s="31">
        <v>6.8999999999999999E-3</v>
      </c>
      <c r="I585" s="32">
        <v>9.7100000000000009</v>
      </c>
      <c r="J585" s="32">
        <v>0.06</v>
      </c>
    </row>
    <row r="586" spans="1:10" ht="27" customHeight="1">
      <c r="A586" s="28" t="s">
        <v>47</v>
      </c>
      <c r="B586" s="29" t="s">
        <v>882</v>
      </c>
      <c r="C586" s="28" t="s">
        <v>29</v>
      </c>
      <c r="D586" s="28" t="s">
        <v>883</v>
      </c>
      <c r="E586" s="211" t="s">
        <v>57</v>
      </c>
      <c r="F586" s="211"/>
      <c r="G586" s="30" t="s">
        <v>59</v>
      </c>
      <c r="H586" s="31">
        <v>0.14199999999999999</v>
      </c>
      <c r="I586" s="32">
        <v>0.6</v>
      </c>
      <c r="J586" s="32">
        <v>0.08</v>
      </c>
    </row>
    <row r="587" spans="1:10" ht="27" customHeight="1">
      <c r="A587" s="28" t="s">
        <v>47</v>
      </c>
      <c r="B587" s="29" t="s">
        <v>884</v>
      </c>
      <c r="C587" s="28" t="s">
        <v>29</v>
      </c>
      <c r="D587" s="28" t="s">
        <v>885</v>
      </c>
      <c r="E587" s="211" t="s">
        <v>713</v>
      </c>
      <c r="F587" s="211"/>
      <c r="G587" s="30" t="s">
        <v>27</v>
      </c>
      <c r="H587" s="31">
        <v>1</v>
      </c>
      <c r="I587" s="32">
        <v>14.97</v>
      </c>
      <c r="J587" s="32">
        <v>14.97</v>
      </c>
    </row>
    <row r="588" spans="1:10" ht="21" customHeight="1">
      <c r="A588" s="21" t="s">
        <v>40</v>
      </c>
      <c r="B588" s="22" t="s">
        <v>369</v>
      </c>
      <c r="C588" s="21" t="s">
        <v>29</v>
      </c>
      <c r="D588" s="21" t="s">
        <v>370</v>
      </c>
      <c r="E588" s="210" t="s">
        <v>41</v>
      </c>
      <c r="F588" s="210"/>
      <c r="G588" s="23" t="s">
        <v>31</v>
      </c>
      <c r="H588" s="24">
        <v>5.6800000000000003E-2</v>
      </c>
      <c r="I588" s="25">
        <v>96.52</v>
      </c>
      <c r="J588" s="25">
        <v>5.48</v>
      </c>
    </row>
    <row r="589" spans="1:10" ht="21" customHeight="1">
      <c r="A589" s="21" t="s">
        <v>40</v>
      </c>
      <c r="B589" s="22" t="s">
        <v>886</v>
      </c>
      <c r="C589" s="21" t="s">
        <v>29</v>
      </c>
      <c r="D589" s="21" t="s">
        <v>887</v>
      </c>
      <c r="E589" s="210" t="s">
        <v>41</v>
      </c>
      <c r="F589" s="210"/>
      <c r="G589" s="23" t="s">
        <v>31</v>
      </c>
      <c r="H589" s="24">
        <v>6.4000000000000003E-3</v>
      </c>
      <c r="I589" s="25">
        <v>190.7</v>
      </c>
      <c r="J589" s="25">
        <v>1.22</v>
      </c>
    </row>
    <row r="590" spans="1:10" ht="27.6">
      <c r="A590" s="26"/>
      <c r="B590" s="26"/>
      <c r="C590" s="26"/>
      <c r="D590" s="26"/>
      <c r="E590" s="161" t="s">
        <v>42</v>
      </c>
      <c r="F590" s="162">
        <v>18.3</v>
      </c>
      <c r="G590" s="26" t="s">
        <v>43</v>
      </c>
      <c r="H590" s="27">
        <v>0</v>
      </c>
      <c r="I590" s="26" t="s">
        <v>44</v>
      </c>
      <c r="J590" s="27">
        <v>18.3</v>
      </c>
    </row>
    <row r="591" spans="1:10" ht="15" customHeight="1" thickBot="1">
      <c r="A591" s="159"/>
      <c r="B591" s="159"/>
      <c r="C591" s="159"/>
      <c r="D591" s="159"/>
      <c r="E591" s="163" t="s">
        <v>45</v>
      </c>
      <c r="F591" s="164">
        <v>9.89</v>
      </c>
      <c r="G591" s="159"/>
      <c r="H591" s="213" t="s">
        <v>46</v>
      </c>
      <c r="I591" s="213"/>
      <c r="J591" s="160">
        <v>44.21</v>
      </c>
    </row>
    <row r="592" spans="1:10" ht="18" customHeight="1" thickTop="1">
      <c r="A592" s="42" t="s">
        <v>525</v>
      </c>
      <c r="B592" s="43" t="s">
        <v>18</v>
      </c>
      <c r="C592" s="42" t="s">
        <v>19</v>
      </c>
      <c r="D592" s="42" t="s">
        <v>6</v>
      </c>
      <c r="E592" s="212" t="s">
        <v>37</v>
      </c>
      <c r="F592" s="212"/>
      <c r="G592" s="44" t="s">
        <v>20</v>
      </c>
      <c r="H592" s="43" t="s">
        <v>21</v>
      </c>
      <c r="I592" s="43" t="s">
        <v>22</v>
      </c>
      <c r="J592" s="43" t="s">
        <v>7</v>
      </c>
    </row>
    <row r="593" spans="1:10" ht="21" customHeight="1">
      <c r="A593" s="154" t="s">
        <v>38</v>
      </c>
      <c r="B593" s="155" t="s">
        <v>670</v>
      </c>
      <c r="C593" s="154" t="s">
        <v>29</v>
      </c>
      <c r="D593" s="154" t="s">
        <v>671</v>
      </c>
      <c r="E593" s="214" t="s">
        <v>50</v>
      </c>
      <c r="F593" s="214"/>
      <c r="G593" s="156" t="s">
        <v>27</v>
      </c>
      <c r="H593" s="157">
        <v>1</v>
      </c>
      <c r="I593" s="158">
        <v>1.76</v>
      </c>
      <c r="J593" s="158">
        <v>1.76</v>
      </c>
    </row>
    <row r="594" spans="1:10" ht="27" customHeight="1">
      <c r="A594" s="28" t="s">
        <v>47</v>
      </c>
      <c r="B594" s="29" t="s">
        <v>888</v>
      </c>
      <c r="C594" s="28" t="s">
        <v>29</v>
      </c>
      <c r="D594" s="28" t="s">
        <v>889</v>
      </c>
      <c r="E594" s="211" t="s">
        <v>57</v>
      </c>
      <c r="F594" s="211"/>
      <c r="G594" s="30" t="s">
        <v>58</v>
      </c>
      <c r="H594" s="31">
        <v>1.4999999999999999E-2</v>
      </c>
      <c r="I594" s="32">
        <v>2.2400000000000002</v>
      </c>
      <c r="J594" s="32">
        <v>0.03</v>
      </c>
    </row>
    <row r="595" spans="1:10" ht="27" customHeight="1">
      <c r="A595" s="28" t="s">
        <v>47</v>
      </c>
      <c r="B595" s="29" t="s">
        <v>48</v>
      </c>
      <c r="C595" s="28" t="s">
        <v>29</v>
      </c>
      <c r="D595" s="28" t="s">
        <v>49</v>
      </c>
      <c r="E595" s="211" t="s">
        <v>50</v>
      </c>
      <c r="F595" s="211"/>
      <c r="G595" s="30" t="s">
        <v>51</v>
      </c>
      <c r="H595" s="31">
        <v>8.8999999999999996E-2</v>
      </c>
      <c r="I595" s="32">
        <v>19.48</v>
      </c>
      <c r="J595" s="32">
        <v>1.73</v>
      </c>
    </row>
    <row r="596" spans="1:10" ht="27.6">
      <c r="A596" s="26"/>
      <c r="B596" s="26"/>
      <c r="C596" s="26"/>
      <c r="D596" s="26"/>
      <c r="E596" s="161" t="s">
        <v>42</v>
      </c>
      <c r="F596" s="162">
        <v>1.1000000000000001</v>
      </c>
      <c r="G596" s="26" t="s">
        <v>43</v>
      </c>
      <c r="H596" s="27">
        <v>0</v>
      </c>
      <c r="I596" s="26" t="s">
        <v>44</v>
      </c>
      <c r="J596" s="27">
        <v>1.1000000000000001</v>
      </c>
    </row>
    <row r="597" spans="1:10" ht="15" customHeight="1" thickBot="1">
      <c r="A597" s="159"/>
      <c r="B597" s="159"/>
      <c r="C597" s="159"/>
      <c r="D597" s="159"/>
      <c r="E597" s="163" t="s">
        <v>45</v>
      </c>
      <c r="F597" s="164">
        <v>0.5</v>
      </c>
      <c r="G597" s="159"/>
      <c r="H597" s="213" t="s">
        <v>46</v>
      </c>
      <c r="I597" s="213"/>
      <c r="J597" s="160">
        <v>2.2599999999999998</v>
      </c>
    </row>
    <row r="598" spans="1:10" ht="18" customHeight="1" thickTop="1">
      <c r="A598" s="42" t="s">
        <v>528</v>
      </c>
      <c r="B598" s="43" t="s">
        <v>18</v>
      </c>
      <c r="C598" s="42" t="s">
        <v>19</v>
      </c>
      <c r="D598" s="42" t="s">
        <v>6</v>
      </c>
      <c r="E598" s="212" t="s">
        <v>37</v>
      </c>
      <c r="F598" s="212"/>
      <c r="G598" s="44" t="s">
        <v>20</v>
      </c>
      <c r="H598" s="43" t="s">
        <v>21</v>
      </c>
      <c r="I598" s="43" t="s">
        <v>22</v>
      </c>
      <c r="J598" s="43" t="s">
        <v>7</v>
      </c>
    </row>
    <row r="599" spans="1:10" ht="21" customHeight="1">
      <c r="A599" s="154" t="s">
        <v>38</v>
      </c>
      <c r="B599" s="155" t="s">
        <v>573</v>
      </c>
      <c r="C599" s="154" t="s">
        <v>29</v>
      </c>
      <c r="D599" s="154" t="s">
        <v>574</v>
      </c>
      <c r="E599" s="214" t="s">
        <v>89</v>
      </c>
      <c r="F599" s="214"/>
      <c r="G599" s="156" t="s">
        <v>27</v>
      </c>
      <c r="H599" s="157">
        <v>1</v>
      </c>
      <c r="I599" s="158">
        <v>3.36</v>
      </c>
      <c r="J599" s="158">
        <v>3.36</v>
      </c>
    </row>
    <row r="600" spans="1:10" ht="27" customHeight="1">
      <c r="A600" s="28" t="s">
        <v>47</v>
      </c>
      <c r="B600" s="29" t="s">
        <v>90</v>
      </c>
      <c r="C600" s="28" t="s">
        <v>29</v>
      </c>
      <c r="D600" s="28" t="s">
        <v>91</v>
      </c>
      <c r="E600" s="211" t="s">
        <v>50</v>
      </c>
      <c r="F600" s="211"/>
      <c r="G600" s="30" t="s">
        <v>51</v>
      </c>
      <c r="H600" s="31">
        <v>6.6600000000000006E-2</v>
      </c>
      <c r="I600" s="32">
        <v>25.59</v>
      </c>
      <c r="J600" s="32">
        <v>1.7</v>
      </c>
    </row>
    <row r="601" spans="1:10" ht="27" customHeight="1">
      <c r="A601" s="28" t="s">
        <v>47</v>
      </c>
      <c r="B601" s="29" t="s">
        <v>48</v>
      </c>
      <c r="C601" s="28" t="s">
        <v>29</v>
      </c>
      <c r="D601" s="28" t="s">
        <v>49</v>
      </c>
      <c r="E601" s="211" t="s">
        <v>50</v>
      </c>
      <c r="F601" s="211"/>
      <c r="G601" s="30" t="s">
        <v>51</v>
      </c>
      <c r="H601" s="31">
        <v>2.2200000000000001E-2</v>
      </c>
      <c r="I601" s="32">
        <v>19.48</v>
      </c>
      <c r="J601" s="32">
        <v>0.43</v>
      </c>
    </row>
    <row r="602" spans="1:10" ht="21" customHeight="1">
      <c r="A602" s="21" t="s">
        <v>40</v>
      </c>
      <c r="B602" s="22" t="s">
        <v>890</v>
      </c>
      <c r="C602" s="21" t="s">
        <v>29</v>
      </c>
      <c r="D602" s="21" t="s">
        <v>891</v>
      </c>
      <c r="E602" s="210" t="s">
        <v>41</v>
      </c>
      <c r="F602" s="210"/>
      <c r="G602" s="23" t="s">
        <v>76</v>
      </c>
      <c r="H602" s="24">
        <v>0.1666</v>
      </c>
      <c r="I602" s="25">
        <v>7.42</v>
      </c>
      <c r="J602" s="25">
        <v>1.23</v>
      </c>
    </row>
    <row r="603" spans="1:10" ht="27.6">
      <c r="A603" s="26"/>
      <c r="B603" s="26"/>
      <c r="C603" s="26"/>
      <c r="D603" s="26"/>
      <c r="E603" s="161" t="s">
        <v>42</v>
      </c>
      <c r="F603" s="162">
        <v>1.4</v>
      </c>
      <c r="G603" s="26" t="s">
        <v>43</v>
      </c>
      <c r="H603" s="27">
        <v>0</v>
      </c>
      <c r="I603" s="26" t="s">
        <v>44</v>
      </c>
      <c r="J603" s="27">
        <v>1.4</v>
      </c>
    </row>
    <row r="604" spans="1:10" ht="15" customHeight="1" thickBot="1">
      <c r="A604" s="159"/>
      <c r="B604" s="159"/>
      <c r="C604" s="159"/>
      <c r="D604" s="159"/>
      <c r="E604" s="163" t="s">
        <v>45</v>
      </c>
      <c r="F604" s="164">
        <v>0.96</v>
      </c>
      <c r="G604" s="159"/>
      <c r="H604" s="213" t="s">
        <v>46</v>
      </c>
      <c r="I604" s="213"/>
      <c r="J604" s="160">
        <v>4.32</v>
      </c>
    </row>
    <row r="605" spans="1:10" ht="18" customHeight="1" thickTop="1">
      <c r="A605" s="42" t="s">
        <v>672</v>
      </c>
      <c r="B605" s="43" t="s">
        <v>18</v>
      </c>
      <c r="C605" s="42" t="s">
        <v>19</v>
      </c>
      <c r="D605" s="42" t="s">
        <v>6</v>
      </c>
      <c r="E605" s="212" t="s">
        <v>37</v>
      </c>
      <c r="F605" s="212"/>
      <c r="G605" s="44" t="s">
        <v>20</v>
      </c>
      <c r="H605" s="43" t="s">
        <v>21</v>
      </c>
      <c r="I605" s="43" t="s">
        <v>22</v>
      </c>
      <c r="J605" s="43" t="s">
        <v>7</v>
      </c>
    </row>
    <row r="606" spans="1:10" ht="27" customHeight="1">
      <c r="A606" s="154" t="s">
        <v>38</v>
      </c>
      <c r="B606" s="155" t="s">
        <v>575</v>
      </c>
      <c r="C606" s="154" t="s">
        <v>29</v>
      </c>
      <c r="D606" s="154" t="s">
        <v>576</v>
      </c>
      <c r="E606" s="214" t="s">
        <v>89</v>
      </c>
      <c r="F606" s="214"/>
      <c r="G606" s="156" t="s">
        <v>27</v>
      </c>
      <c r="H606" s="157">
        <v>1</v>
      </c>
      <c r="I606" s="158">
        <v>27.75</v>
      </c>
      <c r="J606" s="158">
        <v>27.75</v>
      </c>
    </row>
    <row r="607" spans="1:10" ht="27" customHeight="1">
      <c r="A607" s="28" t="s">
        <v>47</v>
      </c>
      <c r="B607" s="29" t="s">
        <v>90</v>
      </c>
      <c r="C607" s="28" t="s">
        <v>29</v>
      </c>
      <c r="D607" s="28" t="s">
        <v>91</v>
      </c>
      <c r="E607" s="211" t="s">
        <v>50</v>
      </c>
      <c r="F607" s="211"/>
      <c r="G607" s="30" t="s">
        <v>51</v>
      </c>
      <c r="H607" s="31">
        <v>0.747</v>
      </c>
      <c r="I607" s="32">
        <v>25.59</v>
      </c>
      <c r="J607" s="32">
        <v>19.11</v>
      </c>
    </row>
    <row r="608" spans="1:10" ht="27" customHeight="1">
      <c r="A608" s="28" t="s">
        <v>47</v>
      </c>
      <c r="B608" s="29" t="s">
        <v>48</v>
      </c>
      <c r="C608" s="28" t="s">
        <v>29</v>
      </c>
      <c r="D608" s="28" t="s">
        <v>49</v>
      </c>
      <c r="E608" s="211" t="s">
        <v>50</v>
      </c>
      <c r="F608" s="211"/>
      <c r="G608" s="30" t="s">
        <v>51</v>
      </c>
      <c r="H608" s="31">
        <v>0.187</v>
      </c>
      <c r="I608" s="32">
        <v>19.48</v>
      </c>
      <c r="J608" s="32">
        <v>3.64</v>
      </c>
    </row>
    <row r="609" spans="1:10" ht="21" customHeight="1">
      <c r="A609" s="21" t="s">
        <v>40</v>
      </c>
      <c r="B609" s="22" t="s">
        <v>92</v>
      </c>
      <c r="C609" s="21" t="s">
        <v>29</v>
      </c>
      <c r="D609" s="21" t="s">
        <v>892</v>
      </c>
      <c r="E609" s="210" t="s">
        <v>41</v>
      </c>
      <c r="F609" s="210"/>
      <c r="G609" s="23" t="s">
        <v>33</v>
      </c>
      <c r="H609" s="24">
        <v>0.06</v>
      </c>
      <c r="I609" s="25">
        <v>0.89</v>
      </c>
      <c r="J609" s="25">
        <v>0.05</v>
      </c>
    </row>
    <row r="610" spans="1:10" ht="21" customHeight="1">
      <c r="A610" s="21" t="s">
        <v>40</v>
      </c>
      <c r="B610" s="22" t="s">
        <v>376</v>
      </c>
      <c r="C610" s="21" t="s">
        <v>29</v>
      </c>
      <c r="D610" s="21" t="s">
        <v>377</v>
      </c>
      <c r="E610" s="210" t="s">
        <v>41</v>
      </c>
      <c r="F610" s="210"/>
      <c r="G610" s="23" t="s">
        <v>54</v>
      </c>
      <c r="H610" s="24">
        <v>1.04304</v>
      </c>
      <c r="I610" s="25">
        <v>4.75</v>
      </c>
      <c r="J610" s="25">
        <v>4.95</v>
      </c>
    </row>
    <row r="611" spans="1:10" ht="27.6">
      <c r="A611" s="26"/>
      <c r="B611" s="26"/>
      <c r="C611" s="26"/>
      <c r="D611" s="26"/>
      <c r="E611" s="161" t="s">
        <v>42</v>
      </c>
      <c r="F611" s="162">
        <v>15.07</v>
      </c>
      <c r="G611" s="26" t="s">
        <v>43</v>
      </c>
      <c r="H611" s="27">
        <v>0</v>
      </c>
      <c r="I611" s="26" t="s">
        <v>44</v>
      </c>
      <c r="J611" s="27">
        <v>15.07</v>
      </c>
    </row>
    <row r="612" spans="1:10" ht="15" customHeight="1" thickBot="1">
      <c r="A612" s="159"/>
      <c r="B612" s="159"/>
      <c r="C612" s="159"/>
      <c r="D612" s="159"/>
      <c r="E612" s="163" t="s">
        <v>45</v>
      </c>
      <c r="F612" s="164">
        <v>7.99</v>
      </c>
      <c r="G612" s="159"/>
      <c r="H612" s="213" t="s">
        <v>46</v>
      </c>
      <c r="I612" s="213"/>
      <c r="J612" s="160">
        <v>35.74</v>
      </c>
    </row>
    <row r="613" spans="1:10" ht="18" customHeight="1" thickTop="1">
      <c r="A613" s="42" t="s">
        <v>673</v>
      </c>
      <c r="B613" s="43" t="s">
        <v>18</v>
      </c>
      <c r="C613" s="42" t="s">
        <v>19</v>
      </c>
      <c r="D613" s="42" t="s">
        <v>6</v>
      </c>
      <c r="E613" s="212" t="s">
        <v>37</v>
      </c>
      <c r="F613" s="212"/>
      <c r="G613" s="44" t="s">
        <v>20</v>
      </c>
      <c r="H613" s="43" t="s">
        <v>21</v>
      </c>
      <c r="I613" s="43" t="s">
        <v>22</v>
      </c>
      <c r="J613" s="43" t="s">
        <v>7</v>
      </c>
    </row>
    <row r="614" spans="1:10" ht="27" customHeight="1">
      <c r="A614" s="154" t="s">
        <v>38</v>
      </c>
      <c r="B614" s="155" t="s">
        <v>34</v>
      </c>
      <c r="C614" s="154" t="s">
        <v>29</v>
      </c>
      <c r="D614" s="154" t="s">
        <v>577</v>
      </c>
      <c r="E614" s="214" t="s">
        <v>89</v>
      </c>
      <c r="F614" s="214"/>
      <c r="G614" s="156" t="s">
        <v>27</v>
      </c>
      <c r="H614" s="157">
        <v>1</v>
      </c>
      <c r="I614" s="158">
        <v>12.879999999999999</v>
      </c>
      <c r="J614" s="158">
        <v>12.88</v>
      </c>
    </row>
    <row r="615" spans="1:10" ht="27" customHeight="1">
      <c r="A615" s="28" t="s">
        <v>47</v>
      </c>
      <c r="B615" s="29" t="s">
        <v>90</v>
      </c>
      <c r="C615" s="28" t="s">
        <v>29</v>
      </c>
      <c r="D615" s="28" t="s">
        <v>91</v>
      </c>
      <c r="E615" s="211" t="s">
        <v>50</v>
      </c>
      <c r="F615" s="211"/>
      <c r="G615" s="30" t="s">
        <v>51</v>
      </c>
      <c r="H615" s="31">
        <v>0.16309999999999999</v>
      </c>
      <c r="I615" s="32">
        <v>25.59</v>
      </c>
      <c r="J615" s="32">
        <v>4.17</v>
      </c>
    </row>
    <row r="616" spans="1:10" ht="27" customHeight="1">
      <c r="A616" s="28" t="s">
        <v>47</v>
      </c>
      <c r="B616" s="29" t="s">
        <v>48</v>
      </c>
      <c r="C616" s="28" t="s">
        <v>29</v>
      </c>
      <c r="D616" s="28" t="s">
        <v>49</v>
      </c>
      <c r="E616" s="211" t="s">
        <v>50</v>
      </c>
      <c r="F616" s="211"/>
      <c r="G616" s="30" t="s">
        <v>51</v>
      </c>
      <c r="H616" s="31">
        <v>5.4399999999999997E-2</v>
      </c>
      <c r="I616" s="32">
        <v>19.48</v>
      </c>
      <c r="J616" s="32">
        <v>1.05</v>
      </c>
    </row>
    <row r="617" spans="1:10" ht="21" customHeight="1">
      <c r="A617" s="21" t="s">
        <v>40</v>
      </c>
      <c r="B617" s="22" t="s">
        <v>93</v>
      </c>
      <c r="C617" s="21" t="s">
        <v>29</v>
      </c>
      <c r="D617" s="21" t="s">
        <v>893</v>
      </c>
      <c r="E617" s="210" t="s">
        <v>41</v>
      </c>
      <c r="F617" s="210"/>
      <c r="G617" s="23" t="s">
        <v>76</v>
      </c>
      <c r="H617" s="24">
        <v>0.22850000000000001</v>
      </c>
      <c r="I617" s="25">
        <v>33.54</v>
      </c>
      <c r="J617" s="25">
        <v>7.66</v>
      </c>
    </row>
    <row r="618" spans="1:10" ht="27.6">
      <c r="A618" s="26"/>
      <c r="B618" s="26"/>
      <c r="C618" s="26"/>
      <c r="D618" s="26"/>
      <c r="E618" s="161" t="s">
        <v>42</v>
      </c>
      <c r="F618" s="162">
        <v>3.45</v>
      </c>
      <c r="G618" s="26" t="s">
        <v>43</v>
      </c>
      <c r="H618" s="27">
        <v>0</v>
      </c>
      <c r="I618" s="26" t="s">
        <v>44</v>
      </c>
      <c r="J618" s="27">
        <v>3.45</v>
      </c>
    </row>
    <row r="619" spans="1:10" ht="15" customHeight="1" thickBot="1">
      <c r="A619" s="159"/>
      <c r="B619" s="159"/>
      <c r="C619" s="159"/>
      <c r="D619" s="159"/>
      <c r="E619" s="163" t="s">
        <v>45</v>
      </c>
      <c r="F619" s="164">
        <v>3.71</v>
      </c>
      <c r="G619" s="159"/>
      <c r="H619" s="213" t="s">
        <v>46</v>
      </c>
      <c r="I619" s="213"/>
      <c r="J619" s="160">
        <v>16.59</v>
      </c>
    </row>
    <row r="620" spans="1:10" ht="18" customHeight="1" thickTop="1">
      <c r="A620" s="42" t="s">
        <v>533</v>
      </c>
      <c r="B620" s="43" t="s">
        <v>18</v>
      </c>
      <c r="C620" s="42" t="s">
        <v>19</v>
      </c>
      <c r="D620" s="42" t="s">
        <v>6</v>
      </c>
      <c r="E620" s="212" t="s">
        <v>37</v>
      </c>
      <c r="F620" s="212"/>
      <c r="G620" s="44" t="s">
        <v>20</v>
      </c>
      <c r="H620" s="43" t="s">
        <v>21</v>
      </c>
      <c r="I620" s="43" t="s">
        <v>22</v>
      </c>
      <c r="J620" s="43" t="s">
        <v>7</v>
      </c>
    </row>
    <row r="621" spans="1:10" ht="27" customHeight="1">
      <c r="A621" s="154" t="s">
        <v>38</v>
      </c>
      <c r="B621" s="155" t="s">
        <v>675</v>
      </c>
      <c r="C621" s="154" t="s">
        <v>29</v>
      </c>
      <c r="D621" s="154" t="s">
        <v>676</v>
      </c>
      <c r="E621" s="214" t="s">
        <v>89</v>
      </c>
      <c r="F621" s="214"/>
      <c r="G621" s="156" t="s">
        <v>27</v>
      </c>
      <c r="H621" s="157">
        <v>1</v>
      </c>
      <c r="I621" s="158">
        <v>18.160000000000004</v>
      </c>
      <c r="J621" s="158">
        <v>18.16</v>
      </c>
    </row>
    <row r="622" spans="1:10" ht="27" customHeight="1">
      <c r="A622" s="28" t="s">
        <v>47</v>
      </c>
      <c r="B622" s="29" t="s">
        <v>90</v>
      </c>
      <c r="C622" s="28" t="s">
        <v>29</v>
      </c>
      <c r="D622" s="28" t="s">
        <v>91</v>
      </c>
      <c r="E622" s="211" t="s">
        <v>50</v>
      </c>
      <c r="F622" s="211"/>
      <c r="G622" s="30" t="s">
        <v>51</v>
      </c>
      <c r="H622" s="31">
        <v>0.50539999999999996</v>
      </c>
      <c r="I622" s="32">
        <v>25.59</v>
      </c>
      <c r="J622" s="32">
        <v>12.93</v>
      </c>
    </row>
    <row r="623" spans="1:10" ht="27" customHeight="1">
      <c r="A623" s="28" t="s">
        <v>47</v>
      </c>
      <c r="B623" s="29" t="s">
        <v>48</v>
      </c>
      <c r="C623" s="28" t="s">
        <v>29</v>
      </c>
      <c r="D623" s="28" t="s">
        <v>49</v>
      </c>
      <c r="E623" s="211" t="s">
        <v>50</v>
      </c>
      <c r="F623" s="211"/>
      <c r="G623" s="30" t="s">
        <v>51</v>
      </c>
      <c r="H623" s="31">
        <v>0.16850000000000001</v>
      </c>
      <c r="I623" s="32">
        <v>19.48</v>
      </c>
      <c r="J623" s="32">
        <v>3.28</v>
      </c>
    </row>
    <row r="624" spans="1:10" ht="21" customHeight="1">
      <c r="A624" s="21" t="s">
        <v>40</v>
      </c>
      <c r="B624" s="22" t="s">
        <v>92</v>
      </c>
      <c r="C624" s="21" t="s">
        <v>29</v>
      </c>
      <c r="D624" s="21" t="s">
        <v>892</v>
      </c>
      <c r="E624" s="210" t="s">
        <v>41</v>
      </c>
      <c r="F624" s="210"/>
      <c r="G624" s="23" t="s">
        <v>33</v>
      </c>
      <c r="H624" s="24">
        <v>4.0099999999999997E-2</v>
      </c>
      <c r="I624" s="25">
        <v>0.89</v>
      </c>
      <c r="J624" s="25">
        <v>0.03</v>
      </c>
    </row>
    <row r="625" spans="1:10" ht="21" customHeight="1">
      <c r="A625" s="21" t="s">
        <v>40</v>
      </c>
      <c r="B625" s="22" t="s">
        <v>894</v>
      </c>
      <c r="C625" s="21" t="s">
        <v>29</v>
      </c>
      <c r="D625" s="21" t="s">
        <v>895</v>
      </c>
      <c r="E625" s="210" t="s">
        <v>41</v>
      </c>
      <c r="F625" s="210"/>
      <c r="G625" s="23" t="s">
        <v>54</v>
      </c>
      <c r="H625" s="24">
        <v>0.7288</v>
      </c>
      <c r="I625" s="25">
        <v>2.64</v>
      </c>
      <c r="J625" s="25">
        <v>1.92</v>
      </c>
    </row>
    <row r="626" spans="1:10" ht="27.6">
      <c r="A626" s="26"/>
      <c r="B626" s="26"/>
      <c r="C626" s="26"/>
      <c r="D626" s="26"/>
      <c r="E626" s="161" t="s">
        <v>42</v>
      </c>
      <c r="F626" s="162">
        <v>10.72</v>
      </c>
      <c r="G626" s="26" t="s">
        <v>43</v>
      </c>
      <c r="H626" s="27">
        <v>0</v>
      </c>
      <c r="I626" s="26" t="s">
        <v>44</v>
      </c>
      <c r="J626" s="27">
        <v>10.72</v>
      </c>
    </row>
    <row r="627" spans="1:10" ht="15" customHeight="1" thickBot="1">
      <c r="A627" s="159"/>
      <c r="B627" s="159"/>
      <c r="C627" s="159"/>
      <c r="D627" s="159"/>
      <c r="E627" s="163" t="s">
        <v>45</v>
      </c>
      <c r="F627" s="164">
        <v>5.23</v>
      </c>
      <c r="G627" s="159"/>
      <c r="H627" s="213" t="s">
        <v>46</v>
      </c>
      <c r="I627" s="213"/>
      <c r="J627" s="160">
        <v>23.39</v>
      </c>
    </row>
    <row r="628" spans="1:10" ht="18" customHeight="1" thickTop="1">
      <c r="A628" s="42" t="s">
        <v>536</v>
      </c>
      <c r="B628" s="43" t="s">
        <v>18</v>
      </c>
      <c r="C628" s="42" t="s">
        <v>19</v>
      </c>
      <c r="D628" s="42" t="s">
        <v>6</v>
      </c>
      <c r="E628" s="212" t="s">
        <v>37</v>
      </c>
      <c r="F628" s="212"/>
      <c r="G628" s="44" t="s">
        <v>20</v>
      </c>
      <c r="H628" s="43" t="s">
        <v>21</v>
      </c>
      <c r="I628" s="43" t="s">
        <v>22</v>
      </c>
      <c r="J628" s="43" t="s">
        <v>7</v>
      </c>
    </row>
    <row r="629" spans="1:10" ht="27" customHeight="1">
      <c r="A629" s="154" t="s">
        <v>38</v>
      </c>
      <c r="B629" s="155" t="s">
        <v>677</v>
      </c>
      <c r="C629" s="154" t="s">
        <v>29</v>
      </c>
      <c r="D629" s="154" t="s">
        <v>678</v>
      </c>
      <c r="E629" s="214" t="s">
        <v>89</v>
      </c>
      <c r="F629" s="214"/>
      <c r="G629" s="156" t="s">
        <v>27</v>
      </c>
      <c r="H629" s="157">
        <v>1</v>
      </c>
      <c r="I629" s="158">
        <v>11.01</v>
      </c>
      <c r="J629" s="158">
        <v>11.01</v>
      </c>
    </row>
    <row r="630" spans="1:10" ht="27" customHeight="1">
      <c r="A630" s="28" t="s">
        <v>47</v>
      </c>
      <c r="B630" s="29" t="s">
        <v>90</v>
      </c>
      <c r="C630" s="28" t="s">
        <v>29</v>
      </c>
      <c r="D630" s="28" t="s">
        <v>91</v>
      </c>
      <c r="E630" s="211" t="s">
        <v>50</v>
      </c>
      <c r="F630" s="211"/>
      <c r="G630" s="30" t="s">
        <v>51</v>
      </c>
      <c r="H630" s="31">
        <v>0.22700000000000001</v>
      </c>
      <c r="I630" s="32">
        <v>25.59</v>
      </c>
      <c r="J630" s="32">
        <v>5.8</v>
      </c>
    </row>
    <row r="631" spans="1:10" ht="27" customHeight="1">
      <c r="A631" s="28" t="s">
        <v>47</v>
      </c>
      <c r="B631" s="29" t="s">
        <v>48</v>
      </c>
      <c r="C631" s="28" t="s">
        <v>29</v>
      </c>
      <c r="D631" s="28" t="s">
        <v>49</v>
      </c>
      <c r="E631" s="211" t="s">
        <v>50</v>
      </c>
      <c r="F631" s="211"/>
      <c r="G631" s="30" t="s">
        <v>51</v>
      </c>
      <c r="H631" s="31">
        <v>7.5700000000000003E-2</v>
      </c>
      <c r="I631" s="32">
        <v>19.48</v>
      </c>
      <c r="J631" s="32">
        <v>1.47</v>
      </c>
    </row>
    <row r="632" spans="1:10" ht="21" customHeight="1">
      <c r="A632" s="21" t="s">
        <v>40</v>
      </c>
      <c r="B632" s="22" t="s">
        <v>896</v>
      </c>
      <c r="C632" s="21" t="s">
        <v>29</v>
      </c>
      <c r="D632" s="21" t="s">
        <v>897</v>
      </c>
      <c r="E632" s="210" t="s">
        <v>41</v>
      </c>
      <c r="F632" s="210"/>
      <c r="G632" s="23" t="s">
        <v>76</v>
      </c>
      <c r="H632" s="24">
        <v>0.26779999999999998</v>
      </c>
      <c r="I632" s="25">
        <v>13.98</v>
      </c>
      <c r="J632" s="25">
        <v>3.74</v>
      </c>
    </row>
    <row r="633" spans="1:10" ht="27.6">
      <c r="A633" s="26"/>
      <c r="B633" s="26"/>
      <c r="C633" s="26"/>
      <c r="D633" s="26"/>
      <c r="E633" s="161" t="s">
        <v>42</v>
      </c>
      <c r="F633" s="162">
        <v>4.8099999999999996</v>
      </c>
      <c r="G633" s="26" t="s">
        <v>43</v>
      </c>
      <c r="H633" s="27">
        <v>0</v>
      </c>
      <c r="I633" s="26" t="s">
        <v>44</v>
      </c>
      <c r="J633" s="27">
        <v>4.8099999999999996</v>
      </c>
    </row>
    <row r="634" spans="1:10" ht="15" customHeight="1" thickBot="1">
      <c r="A634" s="159"/>
      <c r="B634" s="159"/>
      <c r="C634" s="159"/>
      <c r="D634" s="159"/>
      <c r="E634" s="163" t="s">
        <v>45</v>
      </c>
      <c r="F634" s="164">
        <v>3.17</v>
      </c>
      <c r="G634" s="159"/>
      <c r="H634" s="213" t="s">
        <v>46</v>
      </c>
      <c r="I634" s="213"/>
      <c r="J634" s="160">
        <v>14.18</v>
      </c>
    </row>
    <row r="635" spans="1:10" ht="18" customHeight="1" thickTop="1">
      <c r="A635" s="42" t="s">
        <v>548</v>
      </c>
      <c r="B635" s="43" t="s">
        <v>18</v>
      </c>
      <c r="C635" s="42" t="s">
        <v>19</v>
      </c>
      <c r="D635" s="42" t="s">
        <v>6</v>
      </c>
      <c r="E635" s="212" t="s">
        <v>37</v>
      </c>
      <c r="F635" s="212"/>
      <c r="G635" s="44" t="s">
        <v>20</v>
      </c>
      <c r="H635" s="43" t="s">
        <v>21</v>
      </c>
      <c r="I635" s="43" t="s">
        <v>22</v>
      </c>
      <c r="J635" s="43" t="s">
        <v>7</v>
      </c>
    </row>
    <row r="636" spans="1:10" ht="27" customHeight="1">
      <c r="A636" s="154" t="s">
        <v>38</v>
      </c>
      <c r="B636" s="155" t="s">
        <v>680</v>
      </c>
      <c r="C636" s="154" t="s">
        <v>29</v>
      </c>
      <c r="D636" s="154" t="s">
        <v>681</v>
      </c>
      <c r="E636" s="214" t="s">
        <v>89</v>
      </c>
      <c r="F636" s="214"/>
      <c r="G636" s="156" t="s">
        <v>27</v>
      </c>
      <c r="H636" s="157">
        <v>1</v>
      </c>
      <c r="I636" s="158">
        <v>8.9600000000000009</v>
      </c>
      <c r="J636" s="158">
        <v>8.9600000000000009</v>
      </c>
    </row>
    <row r="637" spans="1:10" ht="27" customHeight="1">
      <c r="A637" s="28" t="s">
        <v>47</v>
      </c>
      <c r="B637" s="29" t="s">
        <v>90</v>
      </c>
      <c r="C637" s="28" t="s">
        <v>29</v>
      </c>
      <c r="D637" s="28" t="s">
        <v>91</v>
      </c>
      <c r="E637" s="211" t="s">
        <v>50</v>
      </c>
      <c r="F637" s="211"/>
      <c r="G637" s="30" t="s">
        <v>51</v>
      </c>
      <c r="H637" s="31">
        <v>0.16309999999999999</v>
      </c>
      <c r="I637" s="32">
        <v>25.59</v>
      </c>
      <c r="J637" s="32">
        <v>4.17</v>
      </c>
    </row>
    <row r="638" spans="1:10" ht="27" customHeight="1">
      <c r="A638" s="28" t="s">
        <v>47</v>
      </c>
      <c r="B638" s="29" t="s">
        <v>48</v>
      </c>
      <c r="C638" s="28" t="s">
        <v>29</v>
      </c>
      <c r="D638" s="28" t="s">
        <v>49</v>
      </c>
      <c r="E638" s="211" t="s">
        <v>50</v>
      </c>
      <c r="F638" s="211"/>
      <c r="G638" s="30" t="s">
        <v>51</v>
      </c>
      <c r="H638" s="31">
        <v>5.4399999999999997E-2</v>
      </c>
      <c r="I638" s="32">
        <v>19.48</v>
      </c>
      <c r="J638" s="32">
        <v>1.05</v>
      </c>
    </row>
    <row r="639" spans="1:10" ht="21" customHeight="1">
      <c r="A639" s="21" t="s">
        <v>40</v>
      </c>
      <c r="B639" s="22" t="s">
        <v>896</v>
      </c>
      <c r="C639" s="21" t="s">
        <v>29</v>
      </c>
      <c r="D639" s="21" t="s">
        <v>897</v>
      </c>
      <c r="E639" s="210" t="s">
        <v>41</v>
      </c>
      <c r="F639" s="210"/>
      <c r="G639" s="23" t="s">
        <v>76</v>
      </c>
      <c r="H639" s="24">
        <v>0.26779999999999998</v>
      </c>
      <c r="I639" s="25">
        <v>13.98</v>
      </c>
      <c r="J639" s="25">
        <v>3.74</v>
      </c>
    </row>
    <row r="640" spans="1:10" ht="27.6">
      <c r="A640" s="26"/>
      <c r="B640" s="26"/>
      <c r="C640" s="26"/>
      <c r="D640" s="26"/>
      <c r="E640" s="161" t="s">
        <v>42</v>
      </c>
      <c r="F640" s="162">
        <v>3.45</v>
      </c>
      <c r="G640" s="26" t="s">
        <v>43</v>
      </c>
      <c r="H640" s="27">
        <v>0</v>
      </c>
      <c r="I640" s="26" t="s">
        <v>44</v>
      </c>
      <c r="J640" s="27">
        <v>3.45</v>
      </c>
    </row>
    <row r="641" spans="1:10" ht="15" customHeight="1" thickBot="1">
      <c r="A641" s="159"/>
      <c r="B641" s="159"/>
      <c r="C641" s="159"/>
      <c r="D641" s="159"/>
      <c r="E641" s="163" t="s">
        <v>45</v>
      </c>
      <c r="F641" s="164">
        <v>2.58</v>
      </c>
      <c r="G641" s="159"/>
      <c r="H641" s="213" t="s">
        <v>46</v>
      </c>
      <c r="I641" s="213"/>
      <c r="J641" s="160">
        <v>11.540000000000001</v>
      </c>
    </row>
    <row r="642" spans="1:10" ht="18" customHeight="1" thickTop="1">
      <c r="A642" s="42" t="s">
        <v>683</v>
      </c>
      <c r="B642" s="43" t="s">
        <v>18</v>
      </c>
      <c r="C642" s="42" t="s">
        <v>19</v>
      </c>
      <c r="D642" s="42" t="s">
        <v>6</v>
      </c>
      <c r="E642" s="212" t="s">
        <v>37</v>
      </c>
      <c r="F642" s="212"/>
      <c r="G642" s="44" t="s">
        <v>20</v>
      </c>
      <c r="H642" s="43" t="s">
        <v>21</v>
      </c>
      <c r="I642" s="43" t="s">
        <v>22</v>
      </c>
      <c r="J642" s="43" t="s">
        <v>7</v>
      </c>
    </row>
    <row r="643" spans="1:10" ht="21" customHeight="1">
      <c r="A643" s="154" t="s">
        <v>38</v>
      </c>
      <c r="B643" s="155" t="s">
        <v>578</v>
      </c>
      <c r="C643" s="154" t="s">
        <v>29</v>
      </c>
      <c r="D643" s="154" t="s">
        <v>579</v>
      </c>
      <c r="E643" s="214" t="s">
        <v>89</v>
      </c>
      <c r="F643" s="214"/>
      <c r="G643" s="156" t="s">
        <v>27</v>
      </c>
      <c r="H643" s="157">
        <v>1</v>
      </c>
      <c r="I643" s="158">
        <v>21.060000000000002</v>
      </c>
      <c r="J643" s="158">
        <v>21.06</v>
      </c>
    </row>
    <row r="644" spans="1:10" ht="27" customHeight="1">
      <c r="A644" s="28" t="s">
        <v>47</v>
      </c>
      <c r="B644" s="29" t="s">
        <v>90</v>
      </c>
      <c r="C644" s="28" t="s">
        <v>29</v>
      </c>
      <c r="D644" s="28" t="s">
        <v>91</v>
      </c>
      <c r="E644" s="211" t="s">
        <v>50</v>
      </c>
      <c r="F644" s="211"/>
      <c r="G644" s="30" t="s">
        <v>51</v>
      </c>
      <c r="H644" s="31">
        <v>0.28060000000000002</v>
      </c>
      <c r="I644" s="32">
        <v>25.59</v>
      </c>
      <c r="J644" s="32">
        <v>7.18</v>
      </c>
    </row>
    <row r="645" spans="1:10" ht="21" customHeight="1">
      <c r="A645" s="21" t="s">
        <v>40</v>
      </c>
      <c r="B645" s="22" t="s">
        <v>898</v>
      </c>
      <c r="C645" s="21" t="s">
        <v>29</v>
      </c>
      <c r="D645" s="21" t="s">
        <v>95</v>
      </c>
      <c r="E645" s="210" t="s">
        <v>41</v>
      </c>
      <c r="F645" s="210"/>
      <c r="G645" s="23" t="s">
        <v>76</v>
      </c>
      <c r="H645" s="24">
        <v>0.49608000000000002</v>
      </c>
      <c r="I645" s="25">
        <v>25.99</v>
      </c>
      <c r="J645" s="25">
        <v>12.89</v>
      </c>
    </row>
    <row r="646" spans="1:10" ht="21" customHeight="1">
      <c r="A646" s="21" t="s">
        <v>40</v>
      </c>
      <c r="B646" s="22" t="s">
        <v>92</v>
      </c>
      <c r="C646" s="21" t="s">
        <v>29</v>
      </c>
      <c r="D646" s="21" t="s">
        <v>892</v>
      </c>
      <c r="E646" s="210" t="s">
        <v>41</v>
      </c>
      <c r="F646" s="210"/>
      <c r="G646" s="23" t="s">
        <v>33</v>
      </c>
      <c r="H646" s="24">
        <v>0.4</v>
      </c>
      <c r="I646" s="25">
        <v>0.89</v>
      </c>
      <c r="J646" s="25">
        <v>0.35</v>
      </c>
    </row>
    <row r="647" spans="1:10" ht="21" customHeight="1">
      <c r="A647" s="21" t="s">
        <v>40</v>
      </c>
      <c r="B647" s="22" t="s">
        <v>94</v>
      </c>
      <c r="C647" s="21" t="s">
        <v>29</v>
      </c>
      <c r="D647" s="21" t="s">
        <v>899</v>
      </c>
      <c r="E647" s="210" t="s">
        <v>41</v>
      </c>
      <c r="F647" s="210"/>
      <c r="G647" s="23" t="s">
        <v>76</v>
      </c>
      <c r="H647" s="24">
        <v>2.76E-2</v>
      </c>
      <c r="I647" s="25">
        <v>23.49</v>
      </c>
      <c r="J647" s="25">
        <v>0.64</v>
      </c>
    </row>
    <row r="648" spans="1:10" ht="27.6">
      <c r="A648" s="26"/>
      <c r="B648" s="26"/>
      <c r="C648" s="26"/>
      <c r="D648" s="26"/>
      <c r="E648" s="161" t="s">
        <v>42</v>
      </c>
      <c r="F648" s="162">
        <v>4.79</v>
      </c>
      <c r="G648" s="26" t="s">
        <v>43</v>
      </c>
      <c r="H648" s="27">
        <v>0</v>
      </c>
      <c r="I648" s="26" t="s">
        <v>44</v>
      </c>
      <c r="J648" s="27">
        <v>4.79</v>
      </c>
    </row>
    <row r="649" spans="1:10" ht="15" customHeight="1" thickBot="1">
      <c r="A649" s="159"/>
      <c r="B649" s="159"/>
      <c r="C649" s="159"/>
      <c r="D649" s="159"/>
      <c r="E649" s="163" t="s">
        <v>45</v>
      </c>
      <c r="F649" s="164">
        <v>6.06</v>
      </c>
      <c r="G649" s="159"/>
      <c r="H649" s="213" t="s">
        <v>46</v>
      </c>
      <c r="I649" s="213"/>
      <c r="J649" s="160">
        <v>27.119999999999997</v>
      </c>
    </row>
    <row r="650" spans="1:10" ht="18" customHeight="1" thickTop="1">
      <c r="A650" s="42" t="s">
        <v>684</v>
      </c>
      <c r="B650" s="43" t="s">
        <v>18</v>
      </c>
      <c r="C650" s="42" t="s">
        <v>19</v>
      </c>
      <c r="D650" s="42" t="s">
        <v>6</v>
      </c>
      <c r="E650" s="212" t="s">
        <v>37</v>
      </c>
      <c r="F650" s="212"/>
      <c r="G650" s="44" t="s">
        <v>20</v>
      </c>
      <c r="H650" s="43" t="s">
        <v>21</v>
      </c>
      <c r="I650" s="43" t="s">
        <v>22</v>
      </c>
      <c r="J650" s="43" t="s">
        <v>7</v>
      </c>
    </row>
    <row r="651" spans="1:10" ht="27" customHeight="1">
      <c r="A651" s="154" t="s">
        <v>38</v>
      </c>
      <c r="B651" s="155" t="s">
        <v>580</v>
      </c>
      <c r="C651" s="154" t="s">
        <v>29</v>
      </c>
      <c r="D651" s="154" t="s">
        <v>581</v>
      </c>
      <c r="E651" s="214" t="s">
        <v>89</v>
      </c>
      <c r="F651" s="214"/>
      <c r="G651" s="156" t="s">
        <v>27</v>
      </c>
      <c r="H651" s="157">
        <v>1</v>
      </c>
      <c r="I651" s="158">
        <v>16.91</v>
      </c>
      <c r="J651" s="158">
        <v>16.91</v>
      </c>
    </row>
    <row r="652" spans="1:10" ht="27" customHeight="1">
      <c r="A652" s="28" t="s">
        <v>47</v>
      </c>
      <c r="B652" s="29" t="s">
        <v>90</v>
      </c>
      <c r="C652" s="28" t="s">
        <v>29</v>
      </c>
      <c r="D652" s="28" t="s">
        <v>91</v>
      </c>
      <c r="E652" s="211" t="s">
        <v>50</v>
      </c>
      <c r="F652" s="211"/>
      <c r="G652" s="30" t="s">
        <v>51</v>
      </c>
      <c r="H652" s="31">
        <v>0.3674</v>
      </c>
      <c r="I652" s="32">
        <v>25.59</v>
      </c>
      <c r="J652" s="32">
        <v>9.4</v>
      </c>
    </row>
    <row r="653" spans="1:10" ht="21" customHeight="1">
      <c r="A653" s="21" t="s">
        <v>40</v>
      </c>
      <c r="B653" s="22" t="s">
        <v>900</v>
      </c>
      <c r="C653" s="21" t="s">
        <v>29</v>
      </c>
      <c r="D653" s="21" t="s">
        <v>901</v>
      </c>
      <c r="E653" s="210" t="s">
        <v>41</v>
      </c>
      <c r="F653" s="210"/>
      <c r="G653" s="23" t="s">
        <v>54</v>
      </c>
      <c r="H653" s="24">
        <v>0.66398400000000002</v>
      </c>
      <c r="I653" s="25">
        <v>10.65</v>
      </c>
      <c r="J653" s="25">
        <v>7.07</v>
      </c>
    </row>
    <row r="654" spans="1:10" ht="21" customHeight="1">
      <c r="A654" s="21" t="s">
        <v>40</v>
      </c>
      <c r="B654" s="22" t="s">
        <v>92</v>
      </c>
      <c r="C654" s="21" t="s">
        <v>29</v>
      </c>
      <c r="D654" s="21" t="s">
        <v>892</v>
      </c>
      <c r="E654" s="210" t="s">
        <v>41</v>
      </c>
      <c r="F654" s="210"/>
      <c r="G654" s="23" t="s">
        <v>33</v>
      </c>
      <c r="H654" s="24">
        <v>0.5</v>
      </c>
      <c r="I654" s="25">
        <v>0.89</v>
      </c>
      <c r="J654" s="25">
        <v>0.44</v>
      </c>
    </row>
    <row r="655" spans="1:10" ht="27.6">
      <c r="A655" s="26"/>
      <c r="B655" s="26"/>
      <c r="C655" s="26"/>
      <c r="D655" s="26"/>
      <c r="E655" s="161" t="s">
        <v>42</v>
      </c>
      <c r="F655" s="162">
        <v>6.27</v>
      </c>
      <c r="G655" s="26" t="s">
        <v>43</v>
      </c>
      <c r="H655" s="27">
        <v>0</v>
      </c>
      <c r="I655" s="26" t="s">
        <v>44</v>
      </c>
      <c r="J655" s="27">
        <v>6.27</v>
      </c>
    </row>
    <row r="656" spans="1:10" ht="15" customHeight="1" thickBot="1">
      <c r="A656" s="159"/>
      <c r="B656" s="159"/>
      <c r="C656" s="159"/>
      <c r="D656" s="159"/>
      <c r="E656" s="163" t="s">
        <v>45</v>
      </c>
      <c r="F656" s="164">
        <v>4.87</v>
      </c>
      <c r="G656" s="159"/>
      <c r="H656" s="213" t="s">
        <v>46</v>
      </c>
      <c r="I656" s="213"/>
      <c r="J656" s="160">
        <v>21.78</v>
      </c>
    </row>
    <row r="657" spans="1:10" ht="18" customHeight="1" thickTop="1">
      <c r="A657" s="42" t="s">
        <v>685</v>
      </c>
      <c r="B657" s="43" t="s">
        <v>18</v>
      </c>
      <c r="C657" s="42" t="s">
        <v>19</v>
      </c>
      <c r="D657" s="42" t="s">
        <v>6</v>
      </c>
      <c r="E657" s="212" t="s">
        <v>37</v>
      </c>
      <c r="F657" s="212"/>
      <c r="G657" s="44" t="s">
        <v>20</v>
      </c>
      <c r="H657" s="43" t="s">
        <v>21</v>
      </c>
      <c r="I657" s="43" t="s">
        <v>22</v>
      </c>
      <c r="J657" s="43" t="s">
        <v>7</v>
      </c>
    </row>
    <row r="658" spans="1:10" ht="27" customHeight="1">
      <c r="A658" s="154" t="s">
        <v>38</v>
      </c>
      <c r="B658" s="155" t="s">
        <v>582</v>
      </c>
      <c r="C658" s="154" t="s">
        <v>29</v>
      </c>
      <c r="D658" s="154" t="s">
        <v>583</v>
      </c>
      <c r="E658" s="214" t="s">
        <v>89</v>
      </c>
      <c r="F658" s="214"/>
      <c r="G658" s="156" t="s">
        <v>27</v>
      </c>
      <c r="H658" s="157">
        <v>1</v>
      </c>
      <c r="I658" s="158">
        <v>14.48</v>
      </c>
      <c r="J658" s="158">
        <v>14.48</v>
      </c>
    </row>
    <row r="659" spans="1:10" ht="27" customHeight="1">
      <c r="A659" s="28" t="s">
        <v>47</v>
      </c>
      <c r="B659" s="29" t="s">
        <v>90</v>
      </c>
      <c r="C659" s="28" t="s">
        <v>29</v>
      </c>
      <c r="D659" s="28" t="s">
        <v>91</v>
      </c>
      <c r="E659" s="211" t="s">
        <v>50</v>
      </c>
      <c r="F659" s="211"/>
      <c r="G659" s="30" t="s">
        <v>51</v>
      </c>
      <c r="H659" s="31">
        <v>0.3805</v>
      </c>
      <c r="I659" s="32">
        <v>25.59</v>
      </c>
      <c r="J659" s="32">
        <v>9.73</v>
      </c>
    </row>
    <row r="660" spans="1:10" ht="21" customHeight="1">
      <c r="A660" s="21" t="s">
        <v>40</v>
      </c>
      <c r="B660" s="22" t="s">
        <v>94</v>
      </c>
      <c r="C660" s="21" t="s">
        <v>29</v>
      </c>
      <c r="D660" s="21" t="s">
        <v>899</v>
      </c>
      <c r="E660" s="210" t="s">
        <v>41</v>
      </c>
      <c r="F660" s="210"/>
      <c r="G660" s="23" t="s">
        <v>76</v>
      </c>
      <c r="H660" s="24">
        <v>1.2500000000000001E-2</v>
      </c>
      <c r="I660" s="25">
        <v>23.49</v>
      </c>
      <c r="J660" s="25">
        <v>0.28999999999999998</v>
      </c>
    </row>
    <row r="661" spans="1:10" ht="21" customHeight="1">
      <c r="A661" s="21" t="s">
        <v>40</v>
      </c>
      <c r="B661" s="22" t="s">
        <v>902</v>
      </c>
      <c r="C661" s="21" t="s">
        <v>29</v>
      </c>
      <c r="D661" s="21" t="s">
        <v>903</v>
      </c>
      <c r="E661" s="210" t="s">
        <v>41</v>
      </c>
      <c r="F661" s="210"/>
      <c r="G661" s="23" t="s">
        <v>76</v>
      </c>
      <c r="H661" s="24">
        <v>0.12529999999999999</v>
      </c>
      <c r="I661" s="25">
        <v>35.659999999999997</v>
      </c>
      <c r="J661" s="25">
        <v>4.46</v>
      </c>
    </row>
    <row r="662" spans="1:10" ht="27.6">
      <c r="A662" s="26"/>
      <c r="B662" s="26"/>
      <c r="C662" s="26"/>
      <c r="D662" s="26"/>
      <c r="E662" s="161" t="s">
        <v>42</v>
      </c>
      <c r="F662" s="162">
        <v>6.49</v>
      </c>
      <c r="G662" s="26" t="s">
        <v>43</v>
      </c>
      <c r="H662" s="27">
        <v>0</v>
      </c>
      <c r="I662" s="26" t="s">
        <v>44</v>
      </c>
      <c r="J662" s="27">
        <v>6.49</v>
      </c>
    </row>
    <row r="663" spans="1:10" ht="15" customHeight="1" thickBot="1">
      <c r="A663" s="159"/>
      <c r="B663" s="159"/>
      <c r="C663" s="159"/>
      <c r="D663" s="159"/>
      <c r="E663" s="163" t="s">
        <v>45</v>
      </c>
      <c r="F663" s="164">
        <v>4.17</v>
      </c>
      <c r="G663" s="159"/>
      <c r="H663" s="213" t="s">
        <v>46</v>
      </c>
      <c r="I663" s="213"/>
      <c r="J663" s="160">
        <v>18.649999999999999</v>
      </c>
    </row>
    <row r="664" spans="1:10" ht="18" customHeight="1" thickTop="1">
      <c r="A664" s="42" t="s">
        <v>686</v>
      </c>
      <c r="B664" s="43" t="s">
        <v>18</v>
      </c>
      <c r="C664" s="42" t="s">
        <v>19</v>
      </c>
      <c r="D664" s="42" t="s">
        <v>6</v>
      </c>
      <c r="E664" s="212" t="s">
        <v>37</v>
      </c>
      <c r="F664" s="212"/>
      <c r="G664" s="44" t="s">
        <v>20</v>
      </c>
      <c r="H664" s="43" t="s">
        <v>21</v>
      </c>
      <c r="I664" s="43" t="s">
        <v>22</v>
      </c>
      <c r="J664" s="43" t="s">
        <v>7</v>
      </c>
    </row>
    <row r="665" spans="1:10" ht="27" customHeight="1">
      <c r="A665" s="154" t="s">
        <v>38</v>
      </c>
      <c r="B665" s="155" t="s">
        <v>687</v>
      </c>
      <c r="C665" s="154" t="s">
        <v>29</v>
      </c>
      <c r="D665" s="154" t="s">
        <v>688</v>
      </c>
      <c r="E665" s="214" t="s">
        <v>89</v>
      </c>
      <c r="F665" s="214"/>
      <c r="G665" s="156" t="s">
        <v>27</v>
      </c>
      <c r="H665" s="157">
        <v>1</v>
      </c>
      <c r="I665" s="158">
        <v>9.8699999999999992</v>
      </c>
      <c r="J665" s="158">
        <v>9.8699999999999992</v>
      </c>
    </row>
    <row r="666" spans="1:10" ht="27" customHeight="1">
      <c r="A666" s="28" t="s">
        <v>47</v>
      </c>
      <c r="B666" s="29" t="s">
        <v>90</v>
      </c>
      <c r="C666" s="28" t="s">
        <v>29</v>
      </c>
      <c r="D666" s="28" t="s">
        <v>91</v>
      </c>
      <c r="E666" s="211" t="s">
        <v>50</v>
      </c>
      <c r="F666" s="211"/>
      <c r="G666" s="30" t="s">
        <v>51</v>
      </c>
      <c r="H666" s="31">
        <v>0.2359</v>
      </c>
      <c r="I666" s="32">
        <v>25.59</v>
      </c>
      <c r="J666" s="32">
        <v>6.03</v>
      </c>
    </row>
    <row r="667" spans="1:10" ht="21" customHeight="1">
      <c r="A667" s="21" t="s">
        <v>40</v>
      </c>
      <c r="B667" s="22" t="s">
        <v>94</v>
      </c>
      <c r="C667" s="21" t="s">
        <v>29</v>
      </c>
      <c r="D667" s="21" t="s">
        <v>899</v>
      </c>
      <c r="E667" s="210" t="s">
        <v>41</v>
      </c>
      <c r="F667" s="210"/>
      <c r="G667" s="23" t="s">
        <v>76</v>
      </c>
      <c r="H667" s="24">
        <v>1.35E-2</v>
      </c>
      <c r="I667" s="25">
        <v>23.49</v>
      </c>
      <c r="J667" s="25">
        <v>0.31</v>
      </c>
    </row>
    <row r="668" spans="1:10" ht="27" customHeight="1">
      <c r="A668" s="21" t="s">
        <v>40</v>
      </c>
      <c r="B668" s="22" t="s">
        <v>904</v>
      </c>
      <c r="C668" s="21" t="s">
        <v>29</v>
      </c>
      <c r="D668" s="21" t="s">
        <v>905</v>
      </c>
      <c r="E668" s="210" t="s">
        <v>41</v>
      </c>
      <c r="F668" s="210"/>
      <c r="G668" s="23" t="s">
        <v>76</v>
      </c>
      <c r="H668" s="24">
        <v>9.0200000000000002E-2</v>
      </c>
      <c r="I668" s="25">
        <v>39.19</v>
      </c>
      <c r="J668" s="25">
        <v>3.53</v>
      </c>
    </row>
    <row r="669" spans="1:10" ht="27.6">
      <c r="A669" s="26"/>
      <c r="B669" s="26"/>
      <c r="C669" s="26"/>
      <c r="D669" s="26"/>
      <c r="E669" s="161" t="s">
        <v>42</v>
      </c>
      <c r="F669" s="162">
        <v>4.0199999999999996</v>
      </c>
      <c r="G669" s="26" t="s">
        <v>43</v>
      </c>
      <c r="H669" s="27">
        <v>0</v>
      </c>
      <c r="I669" s="26" t="s">
        <v>44</v>
      </c>
      <c r="J669" s="27">
        <v>4.0199999999999996</v>
      </c>
    </row>
    <row r="670" spans="1:10" ht="15" customHeight="1" thickBot="1">
      <c r="A670" s="159"/>
      <c r="B670" s="159"/>
      <c r="C670" s="159"/>
      <c r="D670" s="159"/>
      <c r="E670" s="163" t="s">
        <v>45</v>
      </c>
      <c r="F670" s="164">
        <v>2.84</v>
      </c>
      <c r="G670" s="159"/>
      <c r="H670" s="213" t="s">
        <v>46</v>
      </c>
      <c r="I670" s="213"/>
      <c r="J670" s="160">
        <v>12.709999999999999</v>
      </c>
    </row>
    <row r="671" spans="1:10" ht="18" customHeight="1" thickTop="1">
      <c r="A671" s="42" t="s">
        <v>691</v>
      </c>
      <c r="B671" s="43" t="s">
        <v>18</v>
      </c>
      <c r="C671" s="42" t="s">
        <v>19</v>
      </c>
      <c r="D671" s="42" t="s">
        <v>6</v>
      </c>
      <c r="E671" s="212" t="s">
        <v>37</v>
      </c>
      <c r="F671" s="212"/>
      <c r="G671" s="44" t="s">
        <v>20</v>
      </c>
      <c r="H671" s="43" t="s">
        <v>21</v>
      </c>
      <c r="I671" s="43" t="s">
        <v>22</v>
      </c>
      <c r="J671" s="43" t="s">
        <v>7</v>
      </c>
    </row>
    <row r="672" spans="1:10" ht="39" customHeight="1">
      <c r="A672" s="154" t="s">
        <v>38</v>
      </c>
      <c r="B672" s="155" t="s">
        <v>308</v>
      </c>
      <c r="C672" s="154" t="s">
        <v>29</v>
      </c>
      <c r="D672" s="154" t="s">
        <v>584</v>
      </c>
      <c r="E672" s="214" t="s">
        <v>89</v>
      </c>
      <c r="F672" s="214"/>
      <c r="G672" s="156" t="s">
        <v>27</v>
      </c>
      <c r="H672" s="157">
        <v>1</v>
      </c>
      <c r="I672" s="158">
        <v>22.32</v>
      </c>
      <c r="J672" s="158">
        <v>22.32</v>
      </c>
    </row>
    <row r="673" spans="1:10" ht="27" customHeight="1">
      <c r="A673" s="28" t="s">
        <v>47</v>
      </c>
      <c r="B673" s="29" t="s">
        <v>90</v>
      </c>
      <c r="C673" s="28" t="s">
        <v>29</v>
      </c>
      <c r="D673" s="28" t="s">
        <v>91</v>
      </c>
      <c r="E673" s="211" t="s">
        <v>50</v>
      </c>
      <c r="F673" s="211"/>
      <c r="G673" s="30" t="s">
        <v>51</v>
      </c>
      <c r="H673" s="31">
        <v>0.67789999999999995</v>
      </c>
      <c r="I673" s="32">
        <v>25.59</v>
      </c>
      <c r="J673" s="32">
        <v>17.34</v>
      </c>
    </row>
    <row r="674" spans="1:10" ht="21" customHeight="1">
      <c r="A674" s="21" t="s">
        <v>40</v>
      </c>
      <c r="B674" s="22" t="s">
        <v>94</v>
      </c>
      <c r="C674" s="21" t="s">
        <v>29</v>
      </c>
      <c r="D674" s="21" t="s">
        <v>899</v>
      </c>
      <c r="E674" s="210" t="s">
        <v>41</v>
      </c>
      <c r="F674" s="210"/>
      <c r="G674" s="23" t="s">
        <v>76</v>
      </c>
      <c r="H674" s="24">
        <v>1.2699999999999999E-2</v>
      </c>
      <c r="I674" s="25">
        <v>23.49</v>
      </c>
      <c r="J674" s="25">
        <v>0.28999999999999998</v>
      </c>
    </row>
    <row r="675" spans="1:10" ht="21" customHeight="1">
      <c r="A675" s="21" t="s">
        <v>40</v>
      </c>
      <c r="B675" s="22" t="s">
        <v>328</v>
      </c>
      <c r="C675" s="21" t="s">
        <v>29</v>
      </c>
      <c r="D675" s="21" t="s">
        <v>329</v>
      </c>
      <c r="E675" s="210" t="s">
        <v>41</v>
      </c>
      <c r="F675" s="210"/>
      <c r="G675" s="23" t="s">
        <v>76</v>
      </c>
      <c r="H675" s="24">
        <v>0.12740000000000001</v>
      </c>
      <c r="I675" s="25">
        <v>36.83</v>
      </c>
      <c r="J675" s="25">
        <v>4.6900000000000004</v>
      </c>
    </row>
    <row r="676" spans="1:10" ht="27.6">
      <c r="A676" s="26"/>
      <c r="B676" s="26"/>
      <c r="C676" s="26"/>
      <c r="D676" s="26"/>
      <c r="E676" s="161" t="s">
        <v>42</v>
      </c>
      <c r="F676" s="162">
        <v>11.57</v>
      </c>
      <c r="G676" s="26" t="s">
        <v>43</v>
      </c>
      <c r="H676" s="27">
        <v>0</v>
      </c>
      <c r="I676" s="26" t="s">
        <v>44</v>
      </c>
      <c r="J676" s="27">
        <v>11.57</v>
      </c>
    </row>
    <row r="677" spans="1:10" ht="15" customHeight="1" thickBot="1">
      <c r="A677" s="159"/>
      <c r="B677" s="159"/>
      <c r="C677" s="159"/>
      <c r="D677" s="159"/>
      <c r="E677" s="163" t="s">
        <v>45</v>
      </c>
      <c r="F677" s="164">
        <v>6.43</v>
      </c>
      <c r="G677" s="159"/>
      <c r="H677" s="213" t="s">
        <v>46</v>
      </c>
      <c r="I677" s="213"/>
      <c r="J677" s="160">
        <v>28.75</v>
      </c>
    </row>
    <row r="678" spans="1:10" ht="18" customHeight="1" thickTop="1">
      <c r="A678" s="42" t="s">
        <v>302</v>
      </c>
      <c r="B678" s="43" t="s">
        <v>18</v>
      </c>
      <c r="C678" s="42" t="s">
        <v>19</v>
      </c>
      <c r="D678" s="42" t="s">
        <v>6</v>
      </c>
      <c r="E678" s="212" t="s">
        <v>37</v>
      </c>
      <c r="F678" s="212"/>
      <c r="G678" s="44" t="s">
        <v>20</v>
      </c>
      <c r="H678" s="43" t="s">
        <v>21</v>
      </c>
      <c r="I678" s="43" t="s">
        <v>22</v>
      </c>
      <c r="J678" s="43" t="s">
        <v>7</v>
      </c>
    </row>
    <row r="679" spans="1:10" ht="27" customHeight="1">
      <c r="A679" s="154" t="s">
        <v>38</v>
      </c>
      <c r="B679" s="155" t="s">
        <v>310</v>
      </c>
      <c r="C679" s="154" t="s">
        <v>29</v>
      </c>
      <c r="D679" s="154" t="s">
        <v>585</v>
      </c>
      <c r="E679" s="214" t="s">
        <v>67</v>
      </c>
      <c r="F679" s="214"/>
      <c r="G679" s="156" t="s">
        <v>33</v>
      </c>
      <c r="H679" s="157">
        <v>1</v>
      </c>
      <c r="I679" s="158">
        <v>25.57</v>
      </c>
      <c r="J679" s="158">
        <v>25.57</v>
      </c>
    </row>
    <row r="680" spans="1:10" ht="27" customHeight="1">
      <c r="A680" s="28" t="s">
        <v>47</v>
      </c>
      <c r="B680" s="29" t="s">
        <v>68</v>
      </c>
      <c r="C680" s="28" t="s">
        <v>29</v>
      </c>
      <c r="D680" s="28" t="s">
        <v>69</v>
      </c>
      <c r="E680" s="211" t="s">
        <v>50</v>
      </c>
      <c r="F680" s="211"/>
      <c r="G680" s="30" t="s">
        <v>51</v>
      </c>
      <c r="H680" s="31">
        <v>0.17949999999999999</v>
      </c>
      <c r="I680" s="32">
        <v>24.63</v>
      </c>
      <c r="J680" s="32">
        <v>4.42</v>
      </c>
    </row>
    <row r="681" spans="1:10" ht="27" customHeight="1">
      <c r="A681" s="28" t="s">
        <v>47</v>
      </c>
      <c r="B681" s="29" t="s">
        <v>70</v>
      </c>
      <c r="C681" s="28" t="s">
        <v>29</v>
      </c>
      <c r="D681" s="28" t="s">
        <v>71</v>
      </c>
      <c r="E681" s="211" t="s">
        <v>50</v>
      </c>
      <c r="F681" s="211"/>
      <c r="G681" s="30" t="s">
        <v>51</v>
      </c>
      <c r="H681" s="31">
        <v>7.4800000000000005E-2</v>
      </c>
      <c r="I681" s="32">
        <v>20.29</v>
      </c>
      <c r="J681" s="32">
        <v>1.51</v>
      </c>
    </row>
    <row r="682" spans="1:10" ht="27" customHeight="1">
      <c r="A682" s="21" t="s">
        <v>40</v>
      </c>
      <c r="B682" s="22" t="s">
        <v>337</v>
      </c>
      <c r="C682" s="21" t="s">
        <v>29</v>
      </c>
      <c r="D682" s="21" t="s">
        <v>338</v>
      </c>
      <c r="E682" s="210" t="s">
        <v>41</v>
      </c>
      <c r="F682" s="210"/>
      <c r="G682" s="23" t="s">
        <v>33</v>
      </c>
      <c r="H682" s="24">
        <v>1</v>
      </c>
      <c r="I682" s="25">
        <v>19.64</v>
      </c>
      <c r="J682" s="25">
        <v>19.64</v>
      </c>
    </row>
    <row r="683" spans="1:10" ht="27.6">
      <c r="A683" s="26"/>
      <c r="B683" s="26"/>
      <c r="C683" s="26"/>
      <c r="D683" s="26"/>
      <c r="E683" s="161" t="s">
        <v>42</v>
      </c>
      <c r="F683" s="162">
        <v>4.0999999999999996</v>
      </c>
      <c r="G683" s="26" t="s">
        <v>43</v>
      </c>
      <c r="H683" s="27">
        <v>0</v>
      </c>
      <c r="I683" s="26" t="s">
        <v>44</v>
      </c>
      <c r="J683" s="27">
        <v>4.0999999999999996</v>
      </c>
    </row>
    <row r="684" spans="1:10" ht="15" customHeight="1" thickBot="1">
      <c r="A684" s="159"/>
      <c r="B684" s="159"/>
      <c r="C684" s="159"/>
      <c r="D684" s="159"/>
      <c r="E684" s="163" t="s">
        <v>45</v>
      </c>
      <c r="F684" s="164">
        <v>7.36</v>
      </c>
      <c r="G684" s="159"/>
      <c r="H684" s="213" t="s">
        <v>46</v>
      </c>
      <c r="I684" s="213"/>
      <c r="J684" s="160">
        <v>32.93</v>
      </c>
    </row>
    <row r="685" spans="1:10" ht="18" customHeight="1" thickTop="1">
      <c r="A685" s="42" t="s">
        <v>303</v>
      </c>
      <c r="B685" s="43" t="s">
        <v>18</v>
      </c>
      <c r="C685" s="42" t="s">
        <v>19</v>
      </c>
      <c r="D685" s="42" t="s">
        <v>6</v>
      </c>
      <c r="E685" s="212" t="s">
        <v>37</v>
      </c>
      <c r="F685" s="212"/>
      <c r="G685" s="44" t="s">
        <v>20</v>
      </c>
      <c r="H685" s="43" t="s">
        <v>21</v>
      </c>
      <c r="I685" s="43" t="s">
        <v>22</v>
      </c>
      <c r="J685" s="43" t="s">
        <v>7</v>
      </c>
    </row>
    <row r="686" spans="1:10" ht="21.75" customHeight="1">
      <c r="A686" s="154" t="s">
        <v>38</v>
      </c>
      <c r="B686" s="155" t="s">
        <v>313</v>
      </c>
      <c r="C686" s="154" t="s">
        <v>26</v>
      </c>
      <c r="D686" s="154" t="s">
        <v>586</v>
      </c>
      <c r="E686" s="214" t="s">
        <v>66</v>
      </c>
      <c r="F686" s="214"/>
      <c r="G686" s="156" t="s">
        <v>33</v>
      </c>
      <c r="H686" s="157">
        <v>1</v>
      </c>
      <c r="I686" s="158">
        <v>31.02</v>
      </c>
      <c r="J686" s="158">
        <v>31.02</v>
      </c>
    </row>
    <row r="687" spans="1:10" ht="27" customHeight="1">
      <c r="A687" s="28" t="s">
        <v>47</v>
      </c>
      <c r="B687" s="29" t="s">
        <v>52</v>
      </c>
      <c r="C687" s="28" t="s">
        <v>29</v>
      </c>
      <c r="D687" s="28" t="s">
        <v>53</v>
      </c>
      <c r="E687" s="211" t="s">
        <v>50</v>
      </c>
      <c r="F687" s="211"/>
      <c r="G687" s="30" t="s">
        <v>51</v>
      </c>
      <c r="H687" s="31">
        <v>0.2</v>
      </c>
      <c r="I687" s="32">
        <v>24.36</v>
      </c>
      <c r="J687" s="32">
        <v>4.87</v>
      </c>
    </row>
    <row r="688" spans="1:10" ht="27" customHeight="1">
      <c r="A688" s="28" t="s">
        <v>47</v>
      </c>
      <c r="B688" s="29" t="s">
        <v>87</v>
      </c>
      <c r="C688" s="28" t="s">
        <v>29</v>
      </c>
      <c r="D688" s="28" t="s">
        <v>88</v>
      </c>
      <c r="E688" s="211" t="s">
        <v>50</v>
      </c>
      <c r="F688" s="211"/>
      <c r="G688" s="30" t="s">
        <v>51</v>
      </c>
      <c r="H688" s="31">
        <v>0.2</v>
      </c>
      <c r="I688" s="32">
        <v>20</v>
      </c>
      <c r="J688" s="32">
        <v>4</v>
      </c>
    </row>
    <row r="689" spans="1:10" ht="27" customHeight="1">
      <c r="A689" s="21" t="s">
        <v>40</v>
      </c>
      <c r="B689" s="22" t="s">
        <v>341</v>
      </c>
      <c r="C689" s="21" t="s">
        <v>29</v>
      </c>
      <c r="D689" s="21" t="s">
        <v>906</v>
      </c>
      <c r="E689" s="210" t="s">
        <v>41</v>
      </c>
      <c r="F689" s="210"/>
      <c r="G689" s="23" t="s">
        <v>33</v>
      </c>
      <c r="H689" s="24">
        <v>1</v>
      </c>
      <c r="I689" s="25">
        <v>22.15</v>
      </c>
      <c r="J689" s="25">
        <v>22.15</v>
      </c>
    </row>
    <row r="690" spans="1:10" ht="27.6">
      <c r="A690" s="26"/>
      <c r="B690" s="26"/>
      <c r="C690" s="26"/>
      <c r="D690" s="26"/>
      <c r="E690" s="161" t="s">
        <v>42</v>
      </c>
      <c r="F690" s="162">
        <v>5.98</v>
      </c>
      <c r="G690" s="26" t="s">
        <v>43</v>
      </c>
      <c r="H690" s="27">
        <v>0</v>
      </c>
      <c r="I690" s="26" t="s">
        <v>44</v>
      </c>
      <c r="J690" s="27">
        <v>5.98</v>
      </c>
    </row>
    <row r="691" spans="1:10" ht="15" customHeight="1" thickBot="1">
      <c r="A691" s="159"/>
      <c r="B691" s="159"/>
      <c r="C691" s="159"/>
      <c r="D691" s="159"/>
      <c r="E691" s="163" t="s">
        <v>45</v>
      </c>
      <c r="F691" s="164">
        <v>8.93</v>
      </c>
      <c r="G691" s="159"/>
      <c r="H691" s="213" t="s">
        <v>46</v>
      </c>
      <c r="I691" s="213"/>
      <c r="J691" s="160">
        <v>39.950000000000003</v>
      </c>
    </row>
    <row r="692" spans="1:10" ht="18" customHeight="1" thickTop="1">
      <c r="A692" s="42" t="s">
        <v>304</v>
      </c>
      <c r="B692" s="43" t="s">
        <v>18</v>
      </c>
      <c r="C692" s="42" t="s">
        <v>19</v>
      </c>
      <c r="D692" s="42" t="s">
        <v>6</v>
      </c>
      <c r="E692" s="212" t="s">
        <v>37</v>
      </c>
      <c r="F692" s="212"/>
      <c r="G692" s="44" t="s">
        <v>20</v>
      </c>
      <c r="H692" s="43" t="s">
        <v>21</v>
      </c>
      <c r="I692" s="43" t="s">
        <v>22</v>
      </c>
      <c r="J692" s="43" t="s">
        <v>7</v>
      </c>
    </row>
    <row r="693" spans="1:10" ht="21.75" customHeight="1">
      <c r="A693" s="154" t="s">
        <v>38</v>
      </c>
      <c r="B693" s="155" t="s">
        <v>587</v>
      </c>
      <c r="C693" s="154" t="s">
        <v>66</v>
      </c>
      <c r="D693" s="154" t="s">
        <v>588</v>
      </c>
      <c r="E693" s="214" t="s">
        <v>720</v>
      </c>
      <c r="F693" s="214"/>
      <c r="G693" s="156" t="s">
        <v>33</v>
      </c>
      <c r="H693" s="157">
        <v>1</v>
      </c>
      <c r="I693" s="158">
        <v>237.23000000000002</v>
      </c>
      <c r="J693" s="158">
        <v>237.23</v>
      </c>
    </row>
    <row r="694" spans="1:10" ht="27" customHeight="1">
      <c r="A694" s="28" t="s">
        <v>47</v>
      </c>
      <c r="B694" s="29" t="s">
        <v>723</v>
      </c>
      <c r="C694" s="28" t="s">
        <v>66</v>
      </c>
      <c r="D694" s="28" t="s">
        <v>88</v>
      </c>
      <c r="E694" s="211" t="s">
        <v>720</v>
      </c>
      <c r="F694" s="211"/>
      <c r="G694" s="30" t="s">
        <v>51</v>
      </c>
      <c r="H694" s="31">
        <v>0.4</v>
      </c>
      <c r="I694" s="32">
        <v>19.579999999999998</v>
      </c>
      <c r="J694" s="32">
        <v>7.83</v>
      </c>
    </row>
    <row r="695" spans="1:10" ht="27" customHeight="1">
      <c r="A695" s="28" t="s">
        <v>47</v>
      </c>
      <c r="B695" s="29" t="s">
        <v>724</v>
      </c>
      <c r="C695" s="28" t="s">
        <v>66</v>
      </c>
      <c r="D695" s="28" t="s">
        <v>53</v>
      </c>
      <c r="E695" s="211" t="s">
        <v>720</v>
      </c>
      <c r="F695" s="211"/>
      <c r="G695" s="30" t="s">
        <v>51</v>
      </c>
      <c r="H695" s="31">
        <v>0.4</v>
      </c>
      <c r="I695" s="32">
        <v>24.36</v>
      </c>
      <c r="J695" s="32">
        <v>9.74</v>
      </c>
    </row>
    <row r="696" spans="1:10" ht="21" customHeight="1">
      <c r="A696" s="21" t="s">
        <v>40</v>
      </c>
      <c r="B696" s="22" t="s">
        <v>907</v>
      </c>
      <c r="C696" s="21" t="s">
        <v>66</v>
      </c>
      <c r="D696" s="21" t="s">
        <v>908</v>
      </c>
      <c r="E696" s="210" t="s">
        <v>41</v>
      </c>
      <c r="F696" s="210"/>
      <c r="G696" s="23" t="s">
        <v>33</v>
      </c>
      <c r="H696" s="24">
        <v>2</v>
      </c>
      <c r="I696" s="25">
        <v>0.93</v>
      </c>
      <c r="J696" s="25">
        <v>1.86</v>
      </c>
    </row>
    <row r="697" spans="1:10" ht="21" customHeight="1">
      <c r="A697" s="21" t="s">
        <v>40</v>
      </c>
      <c r="B697" s="22" t="s">
        <v>909</v>
      </c>
      <c r="C697" s="21" t="s">
        <v>66</v>
      </c>
      <c r="D697" s="21" t="s">
        <v>910</v>
      </c>
      <c r="E697" s="210" t="s">
        <v>41</v>
      </c>
      <c r="F697" s="210"/>
      <c r="G697" s="23" t="s">
        <v>33</v>
      </c>
      <c r="H697" s="24">
        <v>1</v>
      </c>
      <c r="I697" s="25">
        <v>217.8</v>
      </c>
      <c r="J697" s="25">
        <v>217.8</v>
      </c>
    </row>
    <row r="698" spans="1:10" ht="27.6">
      <c r="A698" s="26"/>
      <c r="B698" s="26"/>
      <c r="C698" s="26"/>
      <c r="D698" s="26"/>
      <c r="E698" s="161" t="s">
        <v>42</v>
      </c>
      <c r="F698" s="162">
        <v>11.81</v>
      </c>
      <c r="G698" s="26" t="s">
        <v>43</v>
      </c>
      <c r="H698" s="27">
        <v>0</v>
      </c>
      <c r="I698" s="26" t="s">
        <v>44</v>
      </c>
      <c r="J698" s="27">
        <v>11.81</v>
      </c>
    </row>
    <row r="699" spans="1:10" ht="15" customHeight="1" thickBot="1">
      <c r="A699" s="159"/>
      <c r="B699" s="159"/>
      <c r="C699" s="159"/>
      <c r="D699" s="159"/>
      <c r="E699" s="163" t="s">
        <v>45</v>
      </c>
      <c r="F699" s="164">
        <v>68.36</v>
      </c>
      <c r="G699" s="159"/>
      <c r="H699" s="213" t="s">
        <v>46</v>
      </c>
      <c r="I699" s="213"/>
      <c r="J699" s="160">
        <v>305.58999999999997</v>
      </c>
    </row>
    <row r="700" spans="1:10" ht="18" customHeight="1" thickTop="1">
      <c r="A700" s="42" t="s">
        <v>306</v>
      </c>
      <c r="B700" s="43" t="s">
        <v>18</v>
      </c>
      <c r="C700" s="42" t="s">
        <v>19</v>
      </c>
      <c r="D700" s="42" t="s">
        <v>6</v>
      </c>
      <c r="E700" s="212" t="s">
        <v>37</v>
      </c>
      <c r="F700" s="212"/>
      <c r="G700" s="44" t="s">
        <v>20</v>
      </c>
      <c r="H700" s="43" t="s">
        <v>21</v>
      </c>
      <c r="I700" s="43" t="s">
        <v>22</v>
      </c>
      <c r="J700" s="43" t="s">
        <v>7</v>
      </c>
    </row>
    <row r="701" spans="1:10" ht="27" customHeight="1">
      <c r="A701" s="154" t="s">
        <v>38</v>
      </c>
      <c r="B701" s="155" t="s">
        <v>589</v>
      </c>
      <c r="C701" s="154" t="s">
        <v>29</v>
      </c>
      <c r="D701" s="154" t="s">
        <v>590</v>
      </c>
      <c r="E701" s="214" t="s">
        <v>50</v>
      </c>
      <c r="F701" s="214"/>
      <c r="G701" s="156" t="s">
        <v>27</v>
      </c>
      <c r="H701" s="157">
        <v>1</v>
      </c>
      <c r="I701" s="158">
        <v>4.91</v>
      </c>
      <c r="J701" s="158">
        <v>4.91</v>
      </c>
    </row>
    <row r="702" spans="1:10" ht="27" customHeight="1">
      <c r="A702" s="28" t="s">
        <v>47</v>
      </c>
      <c r="B702" s="29" t="s">
        <v>48</v>
      </c>
      <c r="C702" s="28" t="s">
        <v>29</v>
      </c>
      <c r="D702" s="28" t="s">
        <v>49</v>
      </c>
      <c r="E702" s="211" t="s">
        <v>50</v>
      </c>
      <c r="F702" s="211"/>
      <c r="G702" s="30" t="s">
        <v>51</v>
      </c>
      <c r="H702" s="31">
        <v>0.248</v>
      </c>
      <c r="I702" s="32">
        <v>19.48</v>
      </c>
      <c r="J702" s="32">
        <v>4.83</v>
      </c>
    </row>
    <row r="703" spans="1:10" ht="21" customHeight="1">
      <c r="A703" s="21" t="s">
        <v>40</v>
      </c>
      <c r="B703" s="22" t="s">
        <v>911</v>
      </c>
      <c r="C703" s="21" t="s">
        <v>29</v>
      </c>
      <c r="D703" s="21" t="s">
        <v>912</v>
      </c>
      <c r="E703" s="210" t="s">
        <v>41</v>
      </c>
      <c r="F703" s="210"/>
      <c r="G703" s="23" t="s">
        <v>76</v>
      </c>
      <c r="H703" s="24">
        <v>6.0000000000000001E-3</v>
      </c>
      <c r="I703" s="25">
        <v>14.53</v>
      </c>
      <c r="J703" s="25">
        <v>0.08</v>
      </c>
    </row>
    <row r="704" spans="1:10" ht="27.6">
      <c r="A704" s="26"/>
      <c r="B704" s="26"/>
      <c r="C704" s="26"/>
      <c r="D704" s="26"/>
      <c r="E704" s="161" t="s">
        <v>42</v>
      </c>
      <c r="F704" s="162">
        <v>3.08</v>
      </c>
      <c r="G704" s="26" t="s">
        <v>43</v>
      </c>
      <c r="H704" s="27">
        <v>0</v>
      </c>
      <c r="I704" s="26" t="s">
        <v>44</v>
      </c>
      <c r="J704" s="27">
        <v>3.08</v>
      </c>
    </row>
    <row r="705" spans="1:10" ht="15" customHeight="1" thickBot="1">
      <c r="A705" s="159"/>
      <c r="B705" s="159"/>
      <c r="C705" s="159"/>
      <c r="D705" s="159"/>
      <c r="E705" s="163" t="s">
        <v>45</v>
      </c>
      <c r="F705" s="164">
        <v>1.41</v>
      </c>
      <c r="G705" s="159"/>
      <c r="H705" s="213" t="s">
        <v>46</v>
      </c>
      <c r="I705" s="213"/>
      <c r="J705" s="160">
        <v>6.32</v>
      </c>
    </row>
    <row r="706" spans="1:10" ht="18" customHeight="1" thickTop="1">
      <c r="A706" s="220"/>
      <c r="B706" s="221"/>
      <c r="C706" s="221"/>
      <c r="D706" s="221"/>
      <c r="E706" s="221"/>
      <c r="F706" s="221"/>
      <c r="G706" s="221"/>
      <c r="H706" s="221"/>
      <c r="I706" s="221"/>
      <c r="J706" s="222"/>
    </row>
    <row r="707" spans="1:10" s="72" customFormat="1" ht="24" customHeight="1">
      <c r="A707" s="204" t="str">
        <f>ORCAMENTO!B17</f>
        <v>ANANINDEUA(PA), 17 DE ABRIL DE 2025</v>
      </c>
      <c r="B707" s="204"/>
      <c r="C707" s="204"/>
      <c r="D707" s="204"/>
      <c r="E707" s="73"/>
      <c r="F707" s="215" t="s">
        <v>11</v>
      </c>
      <c r="G707" s="215"/>
      <c r="H707" s="216">
        <f>ORCAMENTO!E17</f>
        <v>428248.73999999993</v>
      </c>
      <c r="I707" s="216"/>
      <c r="J707" s="216"/>
    </row>
    <row r="708" spans="1:10" s="72" customFormat="1" ht="24" customHeight="1">
      <c r="A708" s="73"/>
      <c r="B708" s="73"/>
      <c r="C708" s="73"/>
      <c r="D708" s="74"/>
      <c r="E708" s="73"/>
      <c r="F708" s="215" t="s">
        <v>12</v>
      </c>
      <c r="G708" s="215"/>
      <c r="H708" s="216">
        <f>ORCAMENTO!E18</f>
        <v>123337.16000000021</v>
      </c>
      <c r="I708" s="216"/>
      <c r="J708" s="216"/>
    </row>
    <row r="709" spans="1:10" s="72" customFormat="1" ht="24" customHeight="1">
      <c r="A709" s="197"/>
      <c r="B709" s="197"/>
      <c r="C709" s="197"/>
      <c r="D709" s="197"/>
      <c r="E709" s="197"/>
      <c r="F709" s="215" t="s">
        <v>13</v>
      </c>
      <c r="G709" s="215"/>
      <c r="H709" s="216">
        <f>ORCAMENTO!E19</f>
        <v>551585.90000000014</v>
      </c>
      <c r="I709" s="216"/>
      <c r="J709" s="216"/>
    </row>
    <row r="710" spans="1:10" s="72" customFormat="1" ht="67.5" customHeight="1">
      <c r="A710" s="203"/>
      <c r="B710" s="203"/>
      <c r="C710" s="203"/>
      <c r="D710" s="203"/>
      <c r="E710" s="203"/>
      <c r="F710" s="203"/>
      <c r="G710" s="203"/>
      <c r="H710" s="203"/>
      <c r="I710" s="203"/>
      <c r="J710" s="203"/>
    </row>
    <row r="711" spans="1:10" s="72" customFormat="1" ht="18" customHeight="1">
      <c r="A711" s="204" t="str">
        <f>ORCAMENTO!B21</f>
        <v>RIOL - Serviços de Construções LTDA.</v>
      </c>
      <c r="B711" s="204"/>
      <c r="C711" s="204"/>
      <c r="D711" s="204"/>
      <c r="E711" s="165"/>
      <c r="F711" s="166"/>
    </row>
    <row r="712" spans="1:10" s="72" customFormat="1" ht="18" customHeight="1">
      <c r="A712" s="204" t="str">
        <f>ORCAMENTO!B22</f>
        <v>CNPJ: 09.335.585/0001-75</v>
      </c>
      <c r="B712" s="204"/>
      <c r="C712" s="204"/>
      <c r="D712" s="204"/>
      <c r="E712" s="165"/>
      <c r="F712" s="166"/>
    </row>
  </sheetData>
  <mergeCells count="634">
    <mergeCell ref="E535:F535"/>
    <mergeCell ref="E536:F536"/>
    <mergeCell ref="A706:J706"/>
    <mergeCell ref="E552:F552"/>
    <mergeCell ref="E553:F553"/>
    <mergeCell ref="E665:F665"/>
    <mergeCell ref="E668:F668"/>
    <mergeCell ref="E671:F671"/>
    <mergeCell ref="E572:F572"/>
    <mergeCell ref="E573:F573"/>
    <mergeCell ref="E574:F574"/>
    <mergeCell ref="E575:F575"/>
    <mergeCell ref="E576:F576"/>
    <mergeCell ref="E577:F577"/>
    <mergeCell ref="E563:F563"/>
    <mergeCell ref="E564:F564"/>
    <mergeCell ref="E565:F565"/>
    <mergeCell ref="E566:F566"/>
    <mergeCell ref="E567:F567"/>
    <mergeCell ref="E568:F568"/>
    <mergeCell ref="E569:F569"/>
    <mergeCell ref="E595:F595"/>
    <mergeCell ref="E616:F616"/>
    <mergeCell ref="E617:F617"/>
    <mergeCell ref="H571:I571"/>
    <mergeCell ref="H670:I670"/>
    <mergeCell ref="E624:F624"/>
    <mergeCell ref="H475:I475"/>
    <mergeCell ref="H649:I649"/>
    <mergeCell ref="H656:I656"/>
    <mergeCell ref="E657:F657"/>
    <mergeCell ref="E658:F658"/>
    <mergeCell ref="H663:I663"/>
    <mergeCell ref="E666:F666"/>
    <mergeCell ref="E667:F667"/>
    <mergeCell ref="E578:F578"/>
    <mergeCell ref="E531:F531"/>
    <mergeCell ref="H517:I517"/>
    <mergeCell ref="E537:F537"/>
    <mergeCell ref="E538:F538"/>
    <mergeCell ref="E539:F539"/>
    <mergeCell ref="E543:F543"/>
    <mergeCell ref="E544:F544"/>
    <mergeCell ref="E545:F545"/>
    <mergeCell ref="E554:F554"/>
    <mergeCell ref="E557:F557"/>
    <mergeCell ref="E560:F560"/>
    <mergeCell ref="E550:F550"/>
    <mergeCell ref="H460:I460"/>
    <mergeCell ref="E466:F466"/>
    <mergeCell ref="E467:F467"/>
    <mergeCell ref="H469:I469"/>
    <mergeCell ref="E551:F551"/>
    <mergeCell ref="H691:I691"/>
    <mergeCell ref="E692:F692"/>
    <mergeCell ref="E693:F693"/>
    <mergeCell ref="H699:I699"/>
    <mergeCell ref="E520:F520"/>
    <mergeCell ref="H526:I526"/>
    <mergeCell ref="E527:F527"/>
    <mergeCell ref="H533:I533"/>
    <mergeCell ref="E534:F534"/>
    <mergeCell ref="E540:F540"/>
    <mergeCell ref="H542:I542"/>
    <mergeCell ref="E546:F546"/>
    <mergeCell ref="E547:F547"/>
    <mergeCell ref="H549:I549"/>
    <mergeCell ref="E555:F555"/>
    <mergeCell ref="E556:F556"/>
    <mergeCell ref="H559:I559"/>
    <mergeCell ref="E561:F561"/>
    <mergeCell ref="E562:F562"/>
    <mergeCell ref="E414:F414"/>
    <mergeCell ref="E424:F424"/>
    <mergeCell ref="E415:F415"/>
    <mergeCell ref="E496:F496"/>
    <mergeCell ref="H498:I498"/>
    <mergeCell ref="E504:F504"/>
    <mergeCell ref="E505:F505"/>
    <mergeCell ref="E477:F477"/>
    <mergeCell ref="E478:F478"/>
    <mergeCell ref="E490:F490"/>
    <mergeCell ref="E491:F491"/>
    <mergeCell ref="E492:F492"/>
    <mergeCell ref="E493:F493"/>
    <mergeCell ref="E494:F494"/>
    <mergeCell ref="E495:F495"/>
    <mergeCell ref="H437:I437"/>
    <mergeCell ref="E441:F441"/>
    <mergeCell ref="E442:F442"/>
    <mergeCell ref="H444:I444"/>
    <mergeCell ref="E449:F449"/>
    <mergeCell ref="H451:I451"/>
    <mergeCell ref="E458:F458"/>
    <mergeCell ref="E439:F439"/>
    <mergeCell ref="E440:F440"/>
    <mergeCell ref="H419:I419"/>
    <mergeCell ref="E425:F425"/>
    <mergeCell ref="E426:F426"/>
    <mergeCell ref="H431:I431"/>
    <mergeCell ref="E427:F427"/>
    <mergeCell ref="E428:F428"/>
    <mergeCell ref="E429:F429"/>
    <mergeCell ref="E432:F432"/>
    <mergeCell ref="E435:F435"/>
    <mergeCell ref="E433:F433"/>
    <mergeCell ref="E434:F434"/>
    <mergeCell ref="E368:F368"/>
    <mergeCell ref="E371:F371"/>
    <mergeCell ref="E372:F372"/>
    <mergeCell ref="E373:F373"/>
    <mergeCell ref="E374:F374"/>
    <mergeCell ref="E375:F375"/>
    <mergeCell ref="E376:F376"/>
    <mergeCell ref="E377:F377"/>
    <mergeCell ref="H389:I389"/>
    <mergeCell ref="E397:F397"/>
    <mergeCell ref="H370:I370"/>
    <mergeCell ref="E378:F378"/>
    <mergeCell ref="E379:F379"/>
    <mergeCell ref="E393:F393"/>
    <mergeCell ref="E394:F394"/>
    <mergeCell ref="H411:I411"/>
    <mergeCell ref="E412:F412"/>
    <mergeCell ref="E413:F413"/>
    <mergeCell ref="E401:F401"/>
    <mergeCell ref="E402:F402"/>
    <mergeCell ref="E403:F403"/>
    <mergeCell ref="E404:F404"/>
    <mergeCell ref="E405:F405"/>
    <mergeCell ref="E408:F408"/>
    <mergeCell ref="E409:F409"/>
    <mergeCell ref="E407:F407"/>
    <mergeCell ref="H399:I399"/>
    <mergeCell ref="E400:F400"/>
    <mergeCell ref="E406:F406"/>
    <mergeCell ref="H210:I210"/>
    <mergeCell ref="E213:F213"/>
    <mergeCell ref="E214:F214"/>
    <mergeCell ref="H217:I217"/>
    <mergeCell ref="E221:F221"/>
    <mergeCell ref="H223:I223"/>
    <mergeCell ref="E245:F245"/>
    <mergeCell ref="H247:I247"/>
    <mergeCell ref="H253:I253"/>
    <mergeCell ref="H259:I259"/>
    <mergeCell ref="E260:F260"/>
    <mergeCell ref="E261:F261"/>
    <mergeCell ref="H265:I265"/>
    <mergeCell ref="E268:F268"/>
    <mergeCell ref="E269:F269"/>
    <mergeCell ref="H271:I271"/>
    <mergeCell ref="H362:I362"/>
    <mergeCell ref="H202:I202"/>
    <mergeCell ref="E205:F205"/>
    <mergeCell ref="E206:F206"/>
    <mergeCell ref="E279:F279"/>
    <mergeCell ref="E280:F280"/>
    <mergeCell ref="E285:F285"/>
    <mergeCell ref="E288:F288"/>
    <mergeCell ref="E291:F291"/>
    <mergeCell ref="E294:F294"/>
    <mergeCell ref="E283:F283"/>
    <mergeCell ref="E284:F284"/>
    <mergeCell ref="H287:I287"/>
    <mergeCell ref="E289:F289"/>
    <mergeCell ref="E290:F290"/>
    <mergeCell ref="H293:I293"/>
    <mergeCell ref="H282:I282"/>
    <mergeCell ref="E278:F278"/>
    <mergeCell ref="E239:F239"/>
    <mergeCell ref="E240:F240"/>
    <mergeCell ref="E241:F241"/>
    <mergeCell ref="E242:F242"/>
    <mergeCell ref="E243:F243"/>
    <mergeCell ref="E244:F244"/>
    <mergeCell ref="E248:F248"/>
    <mergeCell ref="E249:F249"/>
    <mergeCell ref="E250:F250"/>
    <mergeCell ref="E251:F251"/>
    <mergeCell ref="E254:F254"/>
    <mergeCell ref="E255:F255"/>
    <mergeCell ref="E256:F256"/>
    <mergeCell ref="E257:F257"/>
    <mergeCell ref="E262:F262"/>
    <mergeCell ref="E263:F263"/>
    <mergeCell ref="E266:F266"/>
    <mergeCell ref="E267:F267"/>
    <mergeCell ref="E275:F275"/>
    <mergeCell ref="H179:I179"/>
    <mergeCell ref="E183:F183"/>
    <mergeCell ref="E184:F184"/>
    <mergeCell ref="H186:I186"/>
    <mergeCell ref="E189:F189"/>
    <mergeCell ref="E190:F190"/>
    <mergeCell ref="H194:I194"/>
    <mergeCell ref="E196:F196"/>
    <mergeCell ref="E197:F197"/>
    <mergeCell ref="E191:F191"/>
    <mergeCell ref="E192:F192"/>
    <mergeCell ref="E195:F195"/>
    <mergeCell ref="E180:F180"/>
    <mergeCell ref="E34:F34"/>
    <mergeCell ref="E43:F43"/>
    <mergeCell ref="E44:F44"/>
    <mergeCell ref="H50:I50"/>
    <mergeCell ref="E56:F56"/>
    <mergeCell ref="E57:F57"/>
    <mergeCell ref="H60:I60"/>
    <mergeCell ref="E64:F64"/>
    <mergeCell ref="E48:F48"/>
    <mergeCell ref="E51:F51"/>
    <mergeCell ref="E52:F52"/>
    <mergeCell ref="E53:F53"/>
    <mergeCell ref="E54:F54"/>
    <mergeCell ref="E55:F55"/>
    <mergeCell ref="E58:F58"/>
    <mergeCell ref="E61:F61"/>
    <mergeCell ref="E62:F62"/>
    <mergeCell ref="E63:F63"/>
    <mergeCell ref="H70:I70"/>
    <mergeCell ref="E72:F72"/>
    <mergeCell ref="E73:F73"/>
    <mergeCell ref="H76:I76"/>
    <mergeCell ref="E80:F80"/>
    <mergeCell ref="H82:I82"/>
    <mergeCell ref="E87:F87"/>
    <mergeCell ref="H10:I10"/>
    <mergeCell ref="E12:F12"/>
    <mergeCell ref="E13:F13"/>
    <mergeCell ref="E14:F14"/>
    <mergeCell ref="H16:I16"/>
    <mergeCell ref="E17:F17"/>
    <mergeCell ref="E18:F18"/>
    <mergeCell ref="E19:F19"/>
    <mergeCell ref="H21:I21"/>
    <mergeCell ref="E22:F22"/>
    <mergeCell ref="E23:F23"/>
    <mergeCell ref="E24:F24"/>
    <mergeCell ref="E25:F25"/>
    <mergeCell ref="E26:F26"/>
    <mergeCell ref="E27:F27"/>
    <mergeCell ref="E28:F28"/>
    <mergeCell ref="E33:F33"/>
    <mergeCell ref="H30:I30"/>
    <mergeCell ref="A4:J4"/>
    <mergeCell ref="A5:J5"/>
    <mergeCell ref="A1:J1"/>
    <mergeCell ref="A2:D2"/>
    <mergeCell ref="E2:F2"/>
    <mergeCell ref="G2:H2"/>
    <mergeCell ref="I2:J2"/>
    <mergeCell ref="A3:D3"/>
    <mergeCell ref="E3:F3"/>
    <mergeCell ref="I3:J3"/>
    <mergeCell ref="E6:F6"/>
    <mergeCell ref="E7:F7"/>
    <mergeCell ref="E8:F8"/>
    <mergeCell ref="E11:F11"/>
    <mergeCell ref="E31:F31"/>
    <mergeCell ref="E32:F32"/>
    <mergeCell ref="E35:F35"/>
    <mergeCell ref="A711:D711"/>
    <mergeCell ref="A712:D712"/>
    <mergeCell ref="A707:D707"/>
    <mergeCell ref="F707:G707"/>
    <mergeCell ref="H707:J707"/>
    <mergeCell ref="F708:G708"/>
    <mergeCell ref="H708:J708"/>
    <mergeCell ref="A709:E709"/>
    <mergeCell ref="F709:G709"/>
    <mergeCell ref="H709:J709"/>
    <mergeCell ref="A710:J710"/>
    <mergeCell ref="E36:F36"/>
    <mergeCell ref="E37:F37"/>
    <mergeCell ref="E38:F38"/>
    <mergeCell ref="H40:I40"/>
    <mergeCell ref="E41:F41"/>
    <mergeCell ref="E42:F42"/>
    <mergeCell ref="E45:F45"/>
    <mergeCell ref="E46:F46"/>
    <mergeCell ref="E47:F47"/>
    <mergeCell ref="E65:F65"/>
    <mergeCell ref="E66:F66"/>
    <mergeCell ref="E67:F67"/>
    <mergeCell ref="E68:F68"/>
    <mergeCell ref="E71:F71"/>
    <mergeCell ref="E74:F74"/>
    <mergeCell ref="E77:F77"/>
    <mergeCell ref="E78:F78"/>
    <mergeCell ref="E79:F79"/>
    <mergeCell ref="E83:F83"/>
    <mergeCell ref="E84:F84"/>
    <mergeCell ref="E85:F85"/>
    <mergeCell ref="E86:F86"/>
    <mergeCell ref="E91:F91"/>
    <mergeCell ref="E92:F92"/>
    <mergeCell ref="E93:F93"/>
    <mergeCell ref="E94:F94"/>
    <mergeCell ref="E99:F99"/>
    <mergeCell ref="E138:F138"/>
    <mergeCell ref="E139:F139"/>
    <mergeCell ref="E140:F140"/>
    <mergeCell ref="E88:F88"/>
    <mergeCell ref="H90:I90"/>
    <mergeCell ref="E95:F95"/>
    <mergeCell ref="E96:F96"/>
    <mergeCell ref="H98:I98"/>
    <mergeCell ref="H104:I104"/>
    <mergeCell ref="E105:F105"/>
    <mergeCell ref="E106:F106"/>
    <mergeCell ref="H112:I112"/>
    <mergeCell ref="E114:F114"/>
    <mergeCell ref="E115:F115"/>
    <mergeCell ref="H122:I122"/>
    <mergeCell ref="E123:F123"/>
    <mergeCell ref="H130:I130"/>
    <mergeCell ref="H137:I137"/>
    <mergeCell ref="E135:F135"/>
    <mergeCell ref="E141:F141"/>
    <mergeCell ref="E142:F142"/>
    <mergeCell ref="E100:F100"/>
    <mergeCell ref="E101:F101"/>
    <mergeCell ref="E102:F102"/>
    <mergeCell ref="E107:F107"/>
    <mergeCell ref="E108:F108"/>
    <mergeCell ref="E109:F109"/>
    <mergeCell ref="E110:F110"/>
    <mergeCell ref="E113:F113"/>
    <mergeCell ref="E116:F116"/>
    <mergeCell ref="E117:F117"/>
    <mergeCell ref="E118:F118"/>
    <mergeCell ref="E119:F119"/>
    <mergeCell ref="E120:F120"/>
    <mergeCell ref="E124:F124"/>
    <mergeCell ref="E125:F125"/>
    <mergeCell ref="E126:F126"/>
    <mergeCell ref="E127:F127"/>
    <mergeCell ref="E128:F128"/>
    <mergeCell ref="E131:F131"/>
    <mergeCell ref="E132:F132"/>
    <mergeCell ref="E133:F133"/>
    <mergeCell ref="E134:F134"/>
    <mergeCell ref="H144:I144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45:F145"/>
    <mergeCell ref="E146:F146"/>
    <mergeCell ref="E147:F147"/>
    <mergeCell ref="E148:F148"/>
    <mergeCell ref="E149:F149"/>
    <mergeCell ref="E150:F150"/>
    <mergeCell ref="H152:I152"/>
    <mergeCell ref="E161:F161"/>
    <mergeCell ref="E162:F162"/>
    <mergeCell ref="E163:F163"/>
    <mergeCell ref="E164:F164"/>
    <mergeCell ref="E165:F165"/>
    <mergeCell ref="E153:F153"/>
    <mergeCell ref="E154:F154"/>
    <mergeCell ref="E155:F155"/>
    <mergeCell ref="E156:F156"/>
    <mergeCell ref="E157:F157"/>
    <mergeCell ref="E231:F231"/>
    <mergeCell ref="E232:F232"/>
    <mergeCell ref="E233:F233"/>
    <mergeCell ref="E234:F234"/>
    <mergeCell ref="E235:F235"/>
    <mergeCell ref="E236:F236"/>
    <mergeCell ref="H238:I238"/>
    <mergeCell ref="E224:F224"/>
    <mergeCell ref="E225:F225"/>
    <mergeCell ref="E226:F226"/>
    <mergeCell ref="E227:F227"/>
    <mergeCell ref="E228:F228"/>
    <mergeCell ref="H230:I230"/>
    <mergeCell ref="E181:F181"/>
    <mergeCell ref="E182:F182"/>
    <mergeCell ref="E187:F187"/>
    <mergeCell ref="E188:F188"/>
    <mergeCell ref="E158:F158"/>
    <mergeCell ref="H160:I160"/>
    <mergeCell ref="H167:I167"/>
    <mergeCell ref="E176:F176"/>
    <mergeCell ref="E177:F177"/>
    <mergeCell ref="E295:F295"/>
    <mergeCell ref="E298:F298"/>
    <mergeCell ref="E299:F299"/>
    <mergeCell ref="E300:F300"/>
    <mergeCell ref="E301:F301"/>
    <mergeCell ref="E305:F305"/>
    <mergeCell ref="E306:F306"/>
    <mergeCell ref="E307:F307"/>
    <mergeCell ref="E308:F308"/>
    <mergeCell ref="E309:F309"/>
    <mergeCell ref="E310:F310"/>
    <mergeCell ref="E296:F296"/>
    <mergeCell ref="E297:F297"/>
    <mergeCell ref="H303:I303"/>
    <mergeCell ref="E304:F304"/>
    <mergeCell ref="H312:I312"/>
    <mergeCell ref="E313:F313"/>
    <mergeCell ref="E314:F314"/>
    <mergeCell ref="E315:F315"/>
    <mergeCell ref="E316:F316"/>
    <mergeCell ref="E317:F317"/>
    <mergeCell ref="E321:F321"/>
    <mergeCell ref="E322:F322"/>
    <mergeCell ref="E323:F323"/>
    <mergeCell ref="E324:F324"/>
    <mergeCell ref="E325:F325"/>
    <mergeCell ref="E326:F326"/>
    <mergeCell ref="E318:F318"/>
    <mergeCell ref="H320:I320"/>
    <mergeCell ref="H328:I328"/>
    <mergeCell ref="E331:F331"/>
    <mergeCell ref="E332:F332"/>
    <mergeCell ref="E333:F333"/>
    <mergeCell ref="E334:F334"/>
    <mergeCell ref="E337:F337"/>
    <mergeCell ref="E338:F338"/>
    <mergeCell ref="E339:F339"/>
    <mergeCell ref="E342:F342"/>
    <mergeCell ref="E329:F329"/>
    <mergeCell ref="E330:F330"/>
    <mergeCell ref="H336:I336"/>
    <mergeCell ref="E340:F340"/>
    <mergeCell ref="E341:F341"/>
    <mergeCell ref="H344:I344"/>
    <mergeCell ref="E345:F345"/>
    <mergeCell ref="E346:F346"/>
    <mergeCell ref="E363:F363"/>
    <mergeCell ref="E364:F364"/>
    <mergeCell ref="E365:F365"/>
    <mergeCell ref="E366:F366"/>
    <mergeCell ref="E367:F367"/>
    <mergeCell ref="E347:F347"/>
    <mergeCell ref="E348:F348"/>
    <mergeCell ref="E353:F353"/>
    <mergeCell ref="E354:F354"/>
    <mergeCell ref="E355:F355"/>
    <mergeCell ref="E356:F356"/>
    <mergeCell ref="E357:F357"/>
    <mergeCell ref="E358:F358"/>
    <mergeCell ref="E359:F359"/>
    <mergeCell ref="E508:F508"/>
    <mergeCell ref="E509:F509"/>
    <mergeCell ref="E510:F510"/>
    <mergeCell ref="E511:F511"/>
    <mergeCell ref="E528:F528"/>
    <mergeCell ref="E500:F500"/>
    <mergeCell ref="E501:F501"/>
    <mergeCell ref="E502:F502"/>
    <mergeCell ref="E503:F503"/>
    <mergeCell ref="E461:F461"/>
    <mergeCell ref="E462:F462"/>
    <mergeCell ref="E463:F463"/>
    <mergeCell ref="E464:F464"/>
    <mergeCell ref="E465:F465"/>
    <mergeCell ref="E476:F476"/>
    <mergeCell ref="E479:F479"/>
    <mergeCell ref="E470:F470"/>
    <mergeCell ref="E438:F438"/>
    <mergeCell ref="E445:F445"/>
    <mergeCell ref="E471:F471"/>
    <mergeCell ref="E472:F472"/>
    <mergeCell ref="E473:F473"/>
    <mergeCell ref="E446:F446"/>
    <mergeCell ref="E447:F447"/>
    <mergeCell ref="E448:F448"/>
    <mergeCell ref="E452:F452"/>
    <mergeCell ref="E453:F453"/>
    <mergeCell ref="E454:F454"/>
    <mergeCell ref="E455:F455"/>
    <mergeCell ref="E456:F456"/>
    <mergeCell ref="E457:F457"/>
    <mergeCell ref="E529:F529"/>
    <mergeCell ref="E530:F530"/>
    <mergeCell ref="E512:F512"/>
    <mergeCell ref="E513:F513"/>
    <mergeCell ref="E514:F514"/>
    <mergeCell ref="E515:F515"/>
    <mergeCell ref="E518:F518"/>
    <mergeCell ref="E521:F521"/>
    <mergeCell ref="E522:F522"/>
    <mergeCell ref="E523:F523"/>
    <mergeCell ref="E524:F524"/>
    <mergeCell ref="E519:F519"/>
    <mergeCell ref="H580:I580"/>
    <mergeCell ref="E581:F581"/>
    <mergeCell ref="E582:F582"/>
    <mergeCell ref="E583:F583"/>
    <mergeCell ref="E584:F584"/>
    <mergeCell ref="E587:F587"/>
    <mergeCell ref="E588:F588"/>
    <mergeCell ref="E589:F589"/>
    <mergeCell ref="E594:F594"/>
    <mergeCell ref="E585:F585"/>
    <mergeCell ref="E586:F586"/>
    <mergeCell ref="H591:I591"/>
    <mergeCell ref="E592:F592"/>
    <mergeCell ref="E593:F593"/>
    <mergeCell ref="H597:I597"/>
    <mergeCell ref="E598:F598"/>
    <mergeCell ref="E601:F601"/>
    <mergeCell ref="E602:F602"/>
    <mergeCell ref="E605:F605"/>
    <mergeCell ref="E608:F608"/>
    <mergeCell ref="E609:F609"/>
    <mergeCell ref="E610:F610"/>
    <mergeCell ref="E615:F615"/>
    <mergeCell ref="E599:F599"/>
    <mergeCell ref="E600:F600"/>
    <mergeCell ref="H604:I604"/>
    <mergeCell ref="E606:F606"/>
    <mergeCell ref="E607:F607"/>
    <mergeCell ref="H612:I612"/>
    <mergeCell ref="E613:F613"/>
    <mergeCell ref="E614:F614"/>
    <mergeCell ref="E625:F625"/>
    <mergeCell ref="E628:F628"/>
    <mergeCell ref="E629:F629"/>
    <mergeCell ref="E630:F630"/>
    <mergeCell ref="H619:I619"/>
    <mergeCell ref="E622:F622"/>
    <mergeCell ref="E623:F623"/>
    <mergeCell ref="H627:I627"/>
    <mergeCell ref="E631:F631"/>
    <mergeCell ref="E620:F620"/>
    <mergeCell ref="E621:F621"/>
    <mergeCell ref="E632:F632"/>
    <mergeCell ref="E635:F635"/>
    <mergeCell ref="E636:F636"/>
    <mergeCell ref="E637:F637"/>
    <mergeCell ref="H634:I634"/>
    <mergeCell ref="E685:F685"/>
    <mergeCell ref="E686:F686"/>
    <mergeCell ref="E687:F687"/>
    <mergeCell ref="E672:F672"/>
    <mergeCell ref="E673:F673"/>
    <mergeCell ref="E674:F674"/>
    <mergeCell ref="E675:F675"/>
    <mergeCell ref="H677:I677"/>
    <mergeCell ref="H684:I684"/>
    <mergeCell ref="E650:F650"/>
    <mergeCell ref="E651:F651"/>
    <mergeCell ref="E652:F652"/>
    <mergeCell ref="E653:F653"/>
    <mergeCell ref="E654:F654"/>
    <mergeCell ref="E659:F659"/>
    <mergeCell ref="E660:F660"/>
    <mergeCell ref="E661:F661"/>
    <mergeCell ref="E664:F664"/>
    <mergeCell ref="E638:F638"/>
    <mergeCell ref="E639:F639"/>
    <mergeCell ref="H641:I641"/>
    <mergeCell ref="E642:F642"/>
    <mergeCell ref="E643:F643"/>
    <mergeCell ref="E644:F644"/>
    <mergeCell ref="E645:F645"/>
    <mergeCell ref="E646:F646"/>
    <mergeCell ref="E647:F647"/>
    <mergeCell ref="E198:F198"/>
    <mergeCell ref="E199:F199"/>
    <mergeCell ref="E200:F200"/>
    <mergeCell ref="E203:F203"/>
    <mergeCell ref="E204:F204"/>
    <mergeCell ref="E215:F215"/>
    <mergeCell ref="E218:F218"/>
    <mergeCell ref="E219:F219"/>
    <mergeCell ref="E220:F220"/>
    <mergeCell ref="E208:F208"/>
    <mergeCell ref="E211:F211"/>
    <mergeCell ref="E212:F212"/>
    <mergeCell ref="E207:F207"/>
    <mergeCell ref="E272:F272"/>
    <mergeCell ref="E273:F273"/>
    <mergeCell ref="E274:F274"/>
    <mergeCell ref="H277:I277"/>
    <mergeCell ref="E420:F420"/>
    <mergeCell ref="E421:F421"/>
    <mergeCell ref="E422:F422"/>
    <mergeCell ref="E423:F423"/>
    <mergeCell ref="E416:F416"/>
    <mergeCell ref="E417:F417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90:F390"/>
    <mergeCell ref="E391:F391"/>
    <mergeCell ref="E392:F392"/>
    <mergeCell ref="E395:F395"/>
    <mergeCell ref="E396:F396"/>
    <mergeCell ref="E360:F360"/>
    <mergeCell ref="E349:F349"/>
    <mergeCell ref="E350:F350"/>
    <mergeCell ref="H352:I352"/>
    <mergeCell ref="H507:I507"/>
    <mergeCell ref="H481:I481"/>
    <mergeCell ref="E482:F482"/>
    <mergeCell ref="E483:F483"/>
    <mergeCell ref="E484:F484"/>
    <mergeCell ref="E485:F485"/>
    <mergeCell ref="E486:F486"/>
    <mergeCell ref="E487:F487"/>
    <mergeCell ref="H489:I489"/>
    <mergeCell ref="E499:F499"/>
    <mergeCell ref="E689:F689"/>
    <mergeCell ref="E694:F694"/>
    <mergeCell ref="E695:F695"/>
    <mergeCell ref="E696:F696"/>
    <mergeCell ref="E697:F697"/>
    <mergeCell ref="E700:F700"/>
    <mergeCell ref="E703:F703"/>
    <mergeCell ref="H705:I705"/>
    <mergeCell ref="E678:F678"/>
    <mergeCell ref="E679:F679"/>
    <mergeCell ref="E680:F680"/>
    <mergeCell ref="E681:F681"/>
    <mergeCell ref="E682:F682"/>
    <mergeCell ref="E688:F688"/>
    <mergeCell ref="E701:F701"/>
    <mergeCell ref="E702:F702"/>
  </mergeCells>
  <printOptions horizontalCentered="1"/>
  <pageMargins left="0.39370078740157483" right="0.19685039370078741" top="0.31496062992125984" bottom="0.78740157480314965" header="0.39370078740157483" footer="0.47244094488188981"/>
  <pageSetup paperSize="9" scale="82" firstPageNumber="0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M34"/>
  <sheetViews>
    <sheetView zoomScaleNormal="100" workbookViewId="0">
      <selection activeCell="A3" sqref="A3:B3"/>
    </sheetView>
  </sheetViews>
  <sheetFormatPr defaultColWidth="9" defaultRowHeight="14.4"/>
  <cols>
    <col min="1" max="1" width="6.59765625" style="1" customWidth="1"/>
    <col min="2" max="2" width="28.59765625" style="1" customWidth="1"/>
    <col min="3" max="3" width="13.59765625" style="1" customWidth="1"/>
    <col min="4" max="10" width="10.59765625" style="1" customWidth="1"/>
    <col min="11" max="31" width="12" style="1" customWidth="1"/>
    <col min="32" max="1027" width="9" style="1"/>
  </cols>
  <sheetData>
    <row r="1" spans="1:1027" ht="129" customHeight="1">
      <c r="A1" s="235"/>
      <c r="B1" s="235"/>
      <c r="C1" s="235"/>
      <c r="D1" s="235"/>
      <c r="E1" s="235"/>
      <c r="F1" s="235"/>
      <c r="G1" s="235"/>
      <c r="H1" s="235"/>
      <c r="I1" s="235"/>
    </row>
    <row r="2" spans="1:1027" s="49" customFormat="1" ht="18.75" customHeight="1">
      <c r="A2" s="236" t="s">
        <v>0</v>
      </c>
      <c r="B2" s="236"/>
      <c r="C2" s="6" t="s">
        <v>1</v>
      </c>
      <c r="D2" s="236"/>
      <c r="E2" s="236"/>
      <c r="F2" s="6" t="s">
        <v>2</v>
      </c>
      <c r="G2" s="48"/>
      <c r="H2" s="236" t="s">
        <v>3</v>
      </c>
      <c r="I2" s="23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M2" s="7"/>
    </row>
    <row r="3" spans="1:1027" s="14" customFormat="1" ht="39" customHeight="1">
      <c r="A3" s="238" t="str">
        <f>ORCAMENTO!A3</f>
        <v>MANUTEÇÃO PREVENTIVA E CORRETIVA DA  CRECHE MUNICIPAL "ODINAMAR OLIVEIRA GOMES"</v>
      </c>
      <c r="B3" s="238"/>
      <c r="C3" s="237" t="str">
        <f>ORCAMENTO!C3</f>
        <v xml:space="preserve">SINAPI - 03/2025 - Pará
SEDOP - 02/2025 - Pará
</v>
      </c>
      <c r="D3" s="237"/>
      <c r="E3" s="237"/>
      <c r="F3" s="2" t="s">
        <v>16</v>
      </c>
      <c r="G3" s="4"/>
      <c r="H3" s="237" t="str">
        <f>ORCAMENTO!E3</f>
        <v>Desonerado: 
0,00%</v>
      </c>
      <c r="I3" s="23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M3" s="3"/>
    </row>
    <row r="4" spans="1:1027" ht="32.25" customHeight="1">
      <c r="A4" s="239" t="s">
        <v>106</v>
      </c>
      <c r="B4" s="239"/>
      <c r="C4" s="239"/>
      <c r="D4" s="239"/>
      <c r="E4" s="239"/>
      <c r="F4" s="239"/>
      <c r="G4" s="239"/>
      <c r="H4" s="239"/>
      <c r="I4" s="239"/>
      <c r="AML4"/>
    </row>
    <row r="5" spans="1:1027" ht="15" customHeight="1">
      <c r="A5" s="58" t="s">
        <v>5</v>
      </c>
      <c r="B5" s="58" t="s">
        <v>6</v>
      </c>
      <c r="C5" s="59" t="s">
        <v>107</v>
      </c>
      <c r="D5" s="60" t="s">
        <v>108</v>
      </c>
      <c r="E5" s="60" t="s">
        <v>109</v>
      </c>
      <c r="F5" s="60" t="s">
        <v>110</v>
      </c>
      <c r="G5" s="60" t="s">
        <v>111</v>
      </c>
      <c r="H5" s="60" t="s">
        <v>238</v>
      </c>
      <c r="I5" s="60" t="s">
        <v>239</v>
      </c>
      <c r="AMK5"/>
      <c r="AML5"/>
    </row>
    <row r="6" spans="1:1027" ht="13.5" customHeight="1">
      <c r="A6" s="225">
        <v>1</v>
      </c>
      <c r="B6" s="230" t="str">
        <f>ORCAMENTO!B6</f>
        <v>SERVIÇOS PRELIMINARES</v>
      </c>
      <c r="C6" s="8">
        <v>1</v>
      </c>
      <c r="D6" s="51">
        <v>1</v>
      </c>
      <c r="E6" s="227"/>
      <c r="F6" s="227"/>
      <c r="G6" s="227"/>
      <c r="H6" s="227"/>
      <c r="I6" s="233"/>
      <c r="AML6"/>
    </row>
    <row r="7" spans="1:1027" ht="13.5" customHeight="1" thickBot="1">
      <c r="A7" s="225"/>
      <c r="B7" s="231"/>
      <c r="C7" s="9">
        <f>ORCAMENTO!E6</f>
        <v>46850.25</v>
      </c>
      <c r="D7" s="52">
        <f>C7</f>
        <v>46850.25</v>
      </c>
      <c r="E7" s="227"/>
      <c r="F7" s="227"/>
      <c r="G7" s="227"/>
      <c r="H7" s="227"/>
      <c r="I7" s="234"/>
      <c r="AML7"/>
    </row>
    <row r="8" spans="1:1027" ht="13.5" customHeight="1" thickTop="1">
      <c r="A8" s="225">
        <v>2</v>
      </c>
      <c r="B8" s="230" t="str">
        <f>ORCAMENTO!B7</f>
        <v>COBERTURA</v>
      </c>
      <c r="C8" s="8">
        <v>1</v>
      </c>
      <c r="D8" s="228"/>
      <c r="E8" s="47">
        <v>0.5</v>
      </c>
      <c r="F8" s="20">
        <v>0.5</v>
      </c>
      <c r="G8" s="227"/>
      <c r="H8" s="227"/>
      <c r="I8" s="233"/>
      <c r="AML8"/>
    </row>
    <row r="9" spans="1:1027" ht="13.5" customHeight="1" thickBot="1">
      <c r="A9" s="225"/>
      <c r="B9" s="231"/>
      <c r="C9" s="9">
        <f>ORCAMENTO!E7</f>
        <v>160102.78000000003</v>
      </c>
      <c r="D9" s="229"/>
      <c r="E9" s="54">
        <f>TRUNC(C9*E8,2)</f>
        <v>80051.39</v>
      </c>
      <c r="F9" s="55">
        <f>C9-E9</f>
        <v>80051.390000000029</v>
      </c>
      <c r="G9" s="227"/>
      <c r="H9" s="227"/>
      <c r="I9" s="234"/>
      <c r="AML9"/>
    </row>
    <row r="10" spans="1:1027" ht="13.5" customHeight="1" thickTop="1">
      <c r="A10" s="225">
        <v>3</v>
      </c>
      <c r="B10" s="230" t="str">
        <f>ORCAMENTO!B8</f>
        <v>ESQUADRIAS</v>
      </c>
      <c r="C10" s="8">
        <v>1</v>
      </c>
      <c r="D10" s="228"/>
      <c r="E10" s="47">
        <v>0.5</v>
      </c>
      <c r="F10" s="20">
        <v>0.5</v>
      </c>
      <c r="G10" s="227"/>
      <c r="H10" s="227"/>
      <c r="I10" s="223"/>
      <c r="AML10"/>
    </row>
    <row r="11" spans="1:1027" ht="13.5" customHeight="1" thickBot="1">
      <c r="A11" s="225"/>
      <c r="B11" s="231"/>
      <c r="C11" s="9">
        <f>ORCAMENTO!E8</f>
        <v>23482.9</v>
      </c>
      <c r="D11" s="229"/>
      <c r="E11" s="54">
        <f>TRUNC(C11*E10,2)</f>
        <v>11741.45</v>
      </c>
      <c r="F11" s="55">
        <f>C11-E11</f>
        <v>11741.45</v>
      </c>
      <c r="G11" s="227"/>
      <c r="H11" s="227"/>
      <c r="I11" s="223"/>
      <c r="AML11"/>
    </row>
    <row r="12" spans="1:1027" ht="13.5" customHeight="1" thickTop="1">
      <c r="A12" s="225">
        <v>4</v>
      </c>
      <c r="B12" s="230" t="str">
        <f>ORCAMENTO!B9</f>
        <v>INSTALAÇÕES ELÉTRICAS</v>
      </c>
      <c r="C12" s="8">
        <v>1</v>
      </c>
      <c r="D12" s="228"/>
      <c r="E12" s="20">
        <v>0.25</v>
      </c>
      <c r="F12" s="20">
        <v>0.25</v>
      </c>
      <c r="G12" s="20">
        <v>0.5</v>
      </c>
      <c r="H12" s="227"/>
      <c r="I12" s="233"/>
      <c r="AML12"/>
    </row>
    <row r="13" spans="1:1027" ht="13.5" customHeight="1" thickBot="1">
      <c r="A13" s="225"/>
      <c r="B13" s="231"/>
      <c r="C13" s="10">
        <f>ORCAMENTO!E9</f>
        <v>47915.86</v>
      </c>
      <c r="D13" s="229"/>
      <c r="E13" s="55">
        <f t="shared" ref="E13" si="0">TRUNC(C13*E12,2)</f>
        <v>11978.96</v>
      </c>
      <c r="F13" s="55">
        <f t="shared" ref="F13" si="1">TRUNC(C13*F12,2)</f>
        <v>11978.96</v>
      </c>
      <c r="G13" s="55">
        <f t="shared" ref="G13" si="2">C13-E13-F13</f>
        <v>23957.940000000002</v>
      </c>
      <c r="H13" s="227"/>
      <c r="I13" s="233"/>
      <c r="AML13"/>
    </row>
    <row r="14" spans="1:1027" ht="13.5" customHeight="1" thickTop="1">
      <c r="A14" s="225">
        <v>5</v>
      </c>
      <c r="B14" s="230" t="str">
        <f>ORCAMENTO!B10</f>
        <v>INSTALAÇÕES HIDRÁULICAS</v>
      </c>
      <c r="C14" s="11">
        <v>1</v>
      </c>
      <c r="D14" s="228"/>
      <c r="E14" s="20">
        <v>0.25</v>
      </c>
      <c r="F14" s="20">
        <v>0.25</v>
      </c>
      <c r="G14" s="20">
        <v>0.5</v>
      </c>
      <c r="H14" s="232"/>
      <c r="I14" s="223"/>
      <c r="AML14"/>
    </row>
    <row r="15" spans="1:1027" ht="13.5" customHeight="1" thickBot="1">
      <c r="A15" s="225"/>
      <c r="B15" s="231"/>
      <c r="C15" s="10">
        <f>ORCAMENTO!E10</f>
        <v>42823.630000000005</v>
      </c>
      <c r="D15" s="229"/>
      <c r="E15" s="55">
        <f t="shared" ref="E15" si="3">TRUNC(C15*E14,2)</f>
        <v>10705.9</v>
      </c>
      <c r="F15" s="55">
        <f t="shared" ref="F15" si="4">TRUNC(C15*F14,2)</f>
        <v>10705.9</v>
      </c>
      <c r="G15" s="55">
        <f t="shared" ref="G15" si="5">C15-E15-F15</f>
        <v>21411.83</v>
      </c>
      <c r="H15" s="227"/>
      <c r="I15" s="223"/>
      <c r="AML15"/>
    </row>
    <row r="16" spans="1:1027" ht="13.5" customHeight="1" thickTop="1">
      <c r="A16" s="225">
        <v>6</v>
      </c>
      <c r="B16" s="230" t="str">
        <f>ORCAMENTO!B11</f>
        <v>REVESTIMENTO PAREDE</v>
      </c>
      <c r="C16" s="11">
        <v>1</v>
      </c>
      <c r="D16" s="228"/>
      <c r="E16" s="20">
        <v>0.25</v>
      </c>
      <c r="F16" s="56">
        <v>0.25</v>
      </c>
      <c r="G16" s="20">
        <v>0.25</v>
      </c>
      <c r="H16" s="20">
        <v>0.25</v>
      </c>
      <c r="I16" s="223"/>
      <c r="AML16"/>
    </row>
    <row r="17" spans="1:9 1026:1026" ht="13.5" customHeight="1" thickBot="1">
      <c r="A17" s="225"/>
      <c r="B17" s="231"/>
      <c r="C17" s="10">
        <f>ORCAMENTO!E11</f>
        <v>29855.599999999999</v>
      </c>
      <c r="D17" s="229"/>
      <c r="E17" s="55">
        <f>TRUNC(C17*E16,2)</f>
        <v>7463.9</v>
      </c>
      <c r="F17" s="55">
        <f>TRUNC(C17*F16,2)</f>
        <v>7463.9</v>
      </c>
      <c r="G17" s="53">
        <f>TRUNC(C17*G16,2)</f>
        <v>7463.9</v>
      </c>
      <c r="H17" s="55">
        <f>C17-E17-F17-G17</f>
        <v>7463.8999999999978</v>
      </c>
      <c r="I17" s="223"/>
      <c r="AML17"/>
    </row>
    <row r="18" spans="1:9 1026:1026" ht="13.5" customHeight="1" thickTop="1">
      <c r="A18" s="225">
        <v>7</v>
      </c>
      <c r="B18" s="230" t="str">
        <f>ORCAMENTO!B12</f>
        <v>PISO</v>
      </c>
      <c r="C18" s="11">
        <v>1</v>
      </c>
      <c r="D18" s="228"/>
      <c r="E18" s="20">
        <v>0.25</v>
      </c>
      <c r="F18" s="56">
        <v>0.25</v>
      </c>
      <c r="G18" s="20">
        <v>0.25</v>
      </c>
      <c r="H18" s="20">
        <v>0.25</v>
      </c>
      <c r="I18" s="223"/>
      <c r="AML18"/>
    </row>
    <row r="19" spans="1:9 1026:1026" ht="13.5" customHeight="1" thickBot="1">
      <c r="A19" s="225"/>
      <c r="B19" s="231"/>
      <c r="C19" s="10">
        <f>ORCAMENTO!E12</f>
        <v>74786.899999999994</v>
      </c>
      <c r="D19" s="229"/>
      <c r="E19" s="55">
        <f>TRUNC(C19*E18,2)</f>
        <v>18696.72</v>
      </c>
      <c r="F19" s="55">
        <f>TRUNC(C19*F18,2)</f>
        <v>18696.72</v>
      </c>
      <c r="G19" s="53">
        <f>TRUNC(C19*G18,2)</f>
        <v>18696.72</v>
      </c>
      <c r="H19" s="55">
        <f>C19-E19-F19-G19</f>
        <v>18696.739999999991</v>
      </c>
      <c r="I19" s="223"/>
      <c r="AML19"/>
    </row>
    <row r="20" spans="1:9 1026:1026" ht="13.5" customHeight="1" thickTop="1">
      <c r="A20" s="225">
        <v>8</v>
      </c>
      <c r="B20" s="230" t="str">
        <f>ORCAMENTO!B13</f>
        <v>PINTURA</v>
      </c>
      <c r="C20" s="11">
        <v>1</v>
      </c>
      <c r="D20" s="228"/>
      <c r="E20" s="232"/>
      <c r="F20" s="20">
        <v>0.25</v>
      </c>
      <c r="G20" s="56">
        <v>0.25</v>
      </c>
      <c r="H20" s="20">
        <v>0.25</v>
      </c>
      <c r="I20" s="63">
        <v>0.25</v>
      </c>
      <c r="AML20"/>
    </row>
    <row r="21" spans="1:9 1026:1026" ht="13.5" customHeight="1" thickBot="1">
      <c r="A21" s="225"/>
      <c r="B21" s="231"/>
      <c r="C21" s="10">
        <f>ORCAMENTO!E13</f>
        <v>114453.02000000002</v>
      </c>
      <c r="D21" s="229"/>
      <c r="E21" s="227"/>
      <c r="F21" s="55">
        <f>TRUNC(C21*F20,2)</f>
        <v>28613.25</v>
      </c>
      <c r="G21" s="55">
        <f>TRUNC(C21*G20,2)</f>
        <v>28613.25</v>
      </c>
      <c r="H21" s="53">
        <f>TRUNC(C21*H20,2)</f>
        <v>28613.25</v>
      </c>
      <c r="I21" s="57">
        <f>C21-F21-G21-H21</f>
        <v>28613.270000000019</v>
      </c>
      <c r="AML21"/>
    </row>
    <row r="22" spans="1:9 1026:1026" ht="13.5" customHeight="1" thickTop="1">
      <c r="A22" s="225">
        <v>9</v>
      </c>
      <c r="B22" s="226" t="str">
        <f>ORCAMENTO!B14</f>
        <v>PROTEÇÃO E COMBATE A INCÊNDIO</v>
      </c>
      <c r="C22" s="11">
        <v>1</v>
      </c>
      <c r="D22" s="228"/>
      <c r="E22" s="227"/>
      <c r="F22" s="227"/>
      <c r="G22" s="227"/>
      <c r="H22" s="227"/>
      <c r="I22" s="63">
        <v>1</v>
      </c>
      <c r="AML22"/>
    </row>
    <row r="23" spans="1:9 1026:1026" ht="13.5" customHeight="1" thickBot="1">
      <c r="A23" s="225"/>
      <c r="B23" s="226"/>
      <c r="C23" s="10">
        <f>ORCAMENTO!E14</f>
        <v>4246.17</v>
      </c>
      <c r="D23" s="229"/>
      <c r="E23" s="227"/>
      <c r="F23" s="227"/>
      <c r="G23" s="227"/>
      <c r="H23" s="227"/>
      <c r="I23" s="57">
        <f>C23</f>
        <v>4246.17</v>
      </c>
      <c r="AML23"/>
    </row>
    <row r="24" spans="1:9 1026:1026" ht="13.5" customHeight="1" thickTop="1">
      <c r="A24" s="225">
        <v>10</v>
      </c>
      <c r="B24" s="226" t="str">
        <f>ORCAMENTO!B15</f>
        <v>SERVIÇOS FINAIS</v>
      </c>
      <c r="C24" s="11">
        <v>1</v>
      </c>
      <c r="D24" s="228"/>
      <c r="E24" s="227"/>
      <c r="F24" s="227"/>
      <c r="G24" s="227"/>
      <c r="H24" s="227"/>
      <c r="I24" s="63">
        <v>1</v>
      </c>
      <c r="AML24"/>
    </row>
    <row r="25" spans="1:9 1026:1026" ht="13.5" customHeight="1" thickBot="1">
      <c r="A25" s="225"/>
      <c r="B25" s="226"/>
      <c r="C25" s="10">
        <f>ORCAMENTO!E15</f>
        <v>7068.79</v>
      </c>
      <c r="D25" s="229"/>
      <c r="E25" s="227"/>
      <c r="F25" s="227"/>
      <c r="G25" s="227"/>
      <c r="H25" s="227"/>
      <c r="I25" s="57">
        <f>C25</f>
        <v>7068.79</v>
      </c>
      <c r="AML25"/>
    </row>
    <row r="26" spans="1:9 1026:1026" ht="15" customHeight="1" thickTop="1">
      <c r="A26" s="224" t="s">
        <v>112</v>
      </c>
      <c r="B26" s="224"/>
      <c r="C26" s="224"/>
      <c r="D26" s="46">
        <f>ROUND(D27/I29,4)</f>
        <v>8.4900000000000003E-2</v>
      </c>
      <c r="E26" s="46">
        <f>ROUND(E27/I29,4)</f>
        <v>0.255</v>
      </c>
      <c r="F26" s="46">
        <f>ROUND(F27/I29,4)</f>
        <v>0.30680000000000002</v>
      </c>
      <c r="G26" s="46">
        <f>ROUND(G27/I29,4)</f>
        <v>0.18160000000000001</v>
      </c>
      <c r="H26" s="46">
        <f>ROUND(H27/I29,4)</f>
        <v>9.9299999999999999E-2</v>
      </c>
      <c r="I26" s="46">
        <f>I28-H28</f>
        <v>7.240000000000002E-2</v>
      </c>
      <c r="AML26"/>
    </row>
    <row r="27" spans="1:9 1026:1026" ht="15" customHeight="1">
      <c r="A27" s="224" t="s">
        <v>113</v>
      </c>
      <c r="B27" s="224"/>
      <c r="C27" s="224"/>
      <c r="D27" s="13">
        <f>D7+D9+D11+D13+D15+D17+D19+D21+D23+D25</f>
        <v>46850.25</v>
      </c>
      <c r="E27" s="13">
        <f t="shared" ref="E27:I27" si="6">E7+E9+E11+E13+E15+E17+E19+E21+E23+E25</f>
        <v>140638.31999999998</v>
      </c>
      <c r="F27" s="13">
        <f t="shared" si="6"/>
        <v>169251.57</v>
      </c>
      <c r="G27" s="13">
        <f t="shared" si="6"/>
        <v>100143.64000000001</v>
      </c>
      <c r="H27" s="13">
        <f t="shared" si="6"/>
        <v>54773.889999999985</v>
      </c>
      <c r="I27" s="13">
        <f t="shared" si="6"/>
        <v>39928.230000000018</v>
      </c>
      <c r="AML27"/>
    </row>
    <row r="28" spans="1:9 1026:1026" ht="15" customHeight="1">
      <c r="A28" s="224" t="s">
        <v>114</v>
      </c>
      <c r="B28" s="224"/>
      <c r="C28" s="224"/>
      <c r="D28" s="12">
        <f>D26</f>
        <v>8.4900000000000003E-2</v>
      </c>
      <c r="E28" s="12">
        <f>D28+E26</f>
        <v>0.33989999999999998</v>
      </c>
      <c r="F28" s="12">
        <f t="shared" ref="F28:H28" si="7">E28+F26</f>
        <v>0.64670000000000005</v>
      </c>
      <c r="G28" s="12">
        <f t="shared" si="7"/>
        <v>0.82830000000000004</v>
      </c>
      <c r="H28" s="12">
        <f t="shared" si="7"/>
        <v>0.92759999999999998</v>
      </c>
      <c r="I28" s="12">
        <v>1</v>
      </c>
      <c r="AML28"/>
    </row>
    <row r="29" spans="1:9 1026:1026" ht="15" customHeight="1">
      <c r="A29" s="224" t="s">
        <v>115</v>
      </c>
      <c r="B29" s="224"/>
      <c r="C29" s="224"/>
      <c r="D29" s="13">
        <f>D27</f>
        <v>46850.25</v>
      </c>
      <c r="E29" s="13">
        <f>D29+E27</f>
        <v>187488.56999999998</v>
      </c>
      <c r="F29" s="13">
        <f>E29+F27</f>
        <v>356740.14</v>
      </c>
      <c r="G29" s="13">
        <f t="shared" ref="G29" si="8">F29+G27</f>
        <v>456883.78</v>
      </c>
      <c r="H29" s="13">
        <f t="shared" ref="H29" si="9">G29+H27</f>
        <v>511657.67000000004</v>
      </c>
      <c r="I29" s="13">
        <f>H29+I27</f>
        <v>551585.9</v>
      </c>
      <c r="AML29"/>
    </row>
    <row r="30" spans="1:9 1026:1026" ht="12" customHeight="1"/>
    <row r="31" spans="1:9 1026:1026" ht="18" customHeight="1">
      <c r="B31" s="50" t="str">
        <f>ORCAMENTO!B17</f>
        <v>ANANINDEUA(PA), 17 DE ABRIL DE 2025</v>
      </c>
      <c r="C31" s="3"/>
    </row>
    <row r="32" spans="1:9 1026:1026" ht="89.25" customHeight="1">
      <c r="B32" s="45"/>
      <c r="C32" s="5"/>
    </row>
    <row r="33" spans="2:2" ht="18" customHeight="1">
      <c r="B33" s="50" t="str">
        <f>ORCAMENTO!B21</f>
        <v>RIOL - Serviços de Construções LTDA.</v>
      </c>
    </row>
    <row r="34" spans="2:2" ht="18" customHeight="1">
      <c r="B34" s="50" t="str">
        <f>ORCAMENTO!B22</f>
        <v>CNPJ: 09.335.585/0001-75</v>
      </c>
    </row>
  </sheetData>
  <mergeCells count="67">
    <mergeCell ref="A4:I4"/>
    <mergeCell ref="D10:D11"/>
    <mergeCell ref="D12:D13"/>
    <mergeCell ref="F22:F23"/>
    <mergeCell ref="G22:G23"/>
    <mergeCell ref="H22:H23"/>
    <mergeCell ref="G10:G11"/>
    <mergeCell ref="D8:D9"/>
    <mergeCell ref="E6:E7"/>
    <mergeCell ref="F6:F7"/>
    <mergeCell ref="G6:G7"/>
    <mergeCell ref="H6:H7"/>
    <mergeCell ref="I10:I11"/>
    <mergeCell ref="I12:I13"/>
    <mergeCell ref="A6:A7"/>
    <mergeCell ref="B6:B7"/>
    <mergeCell ref="A1:I1"/>
    <mergeCell ref="H2:I2"/>
    <mergeCell ref="H3:I3"/>
    <mergeCell ref="C3:E3"/>
    <mergeCell ref="A2:B2"/>
    <mergeCell ref="D2:E2"/>
    <mergeCell ref="A3:B3"/>
    <mergeCell ref="H10:H11"/>
    <mergeCell ref="A10:A11"/>
    <mergeCell ref="B10:B11"/>
    <mergeCell ref="A8:A9"/>
    <mergeCell ref="B8:B9"/>
    <mergeCell ref="I8:I9"/>
    <mergeCell ref="I6:I7"/>
    <mergeCell ref="A16:A17"/>
    <mergeCell ref="B16:B17"/>
    <mergeCell ref="I16:I17"/>
    <mergeCell ref="D14:D15"/>
    <mergeCell ref="D16:D17"/>
    <mergeCell ref="H14:H15"/>
    <mergeCell ref="A14:A15"/>
    <mergeCell ref="B14:B15"/>
    <mergeCell ref="I14:I15"/>
    <mergeCell ref="G8:G9"/>
    <mergeCell ref="H8:H9"/>
    <mergeCell ref="A12:A13"/>
    <mergeCell ref="B12:B13"/>
    <mergeCell ref="H12:H13"/>
    <mergeCell ref="A20:A21"/>
    <mergeCell ref="B20:B21"/>
    <mergeCell ref="D18:D19"/>
    <mergeCell ref="D20:D21"/>
    <mergeCell ref="E20:E21"/>
    <mergeCell ref="A18:A19"/>
    <mergeCell ref="B18:B19"/>
    <mergeCell ref="I18:I19"/>
    <mergeCell ref="A29:C29"/>
    <mergeCell ref="A26:C26"/>
    <mergeCell ref="A22:A23"/>
    <mergeCell ref="B22:B23"/>
    <mergeCell ref="E22:E23"/>
    <mergeCell ref="A24:A25"/>
    <mergeCell ref="B24:B25"/>
    <mergeCell ref="A27:C27"/>
    <mergeCell ref="A28:C28"/>
    <mergeCell ref="E24:E25"/>
    <mergeCell ref="D22:D23"/>
    <mergeCell ref="D24:D25"/>
    <mergeCell ref="F24:F25"/>
    <mergeCell ref="G24:G25"/>
    <mergeCell ref="H24:H25"/>
  </mergeCells>
  <printOptions horizontalCentered="1"/>
  <pageMargins left="0.31496062992125984" right="0.31496062992125984" top="0.39370078740157483" bottom="0.39370078740157483" header="0.51181102362204722" footer="0.51181102362204722"/>
  <pageSetup paperSize="9" scale="78" firstPageNumber="0" orientation="portrait" horizontalDpi="300" verticalDpi="300" r:id="rId1"/>
  <rowBreaks count="1" manualBreakCount="1">
    <brk id="34" max="16383" man="1"/>
  </rowBreaks>
  <colBreaks count="1" manualBreakCount="1">
    <brk id="10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A3A6E-5ACC-4CDC-80CC-8A49B67D1C91}">
  <dimension ref="A1:D194"/>
  <sheetViews>
    <sheetView zoomScaleNormal="100" workbookViewId="0">
      <selection activeCell="B192" sqref="B192"/>
    </sheetView>
  </sheetViews>
  <sheetFormatPr defaultColWidth="9" defaultRowHeight="14.4"/>
  <cols>
    <col min="1" max="1" width="10.59765625" style="15" customWidth="1"/>
    <col min="2" max="2" width="100.59765625" style="15" customWidth="1"/>
    <col min="3" max="3" width="9.5" style="15" customWidth="1"/>
    <col min="4" max="4" width="13.8984375" style="61" customWidth="1"/>
    <col min="5" max="16384" width="9" style="15"/>
  </cols>
  <sheetData>
    <row r="1" spans="1:4" ht="120.75" customHeight="1">
      <c r="A1" s="240"/>
      <c r="B1" s="240"/>
      <c r="C1" s="240"/>
      <c r="D1" s="240"/>
    </row>
    <row r="2" spans="1:4" ht="15" customHeight="1">
      <c r="A2" s="71" t="s">
        <v>0</v>
      </c>
      <c r="B2" s="16"/>
      <c r="C2" s="102"/>
      <c r="D2" s="103"/>
    </row>
    <row r="3" spans="1:4" ht="25.5" customHeight="1">
      <c r="A3" s="200" t="str">
        <f>ORCAMENTO!A3</f>
        <v>MANUTEÇÃO PREVENTIVA E CORRETIVA DA  CRECHE MUNICIPAL "ODINAMAR OLIVEIRA GOMES"</v>
      </c>
      <c r="B3" s="200"/>
      <c r="C3" s="102"/>
      <c r="D3" s="103"/>
    </row>
    <row r="4" spans="1:4" ht="18.75" customHeight="1">
      <c r="A4" s="241" t="s">
        <v>105</v>
      </c>
      <c r="B4" s="241"/>
      <c r="C4" s="241"/>
      <c r="D4" s="241"/>
    </row>
    <row r="5" spans="1:4" s="16" customFormat="1" ht="24" customHeight="1">
      <c r="A5" s="104" t="s">
        <v>5</v>
      </c>
      <c r="B5" s="105" t="s">
        <v>6</v>
      </c>
      <c r="C5" s="104" t="s">
        <v>20</v>
      </c>
      <c r="D5" s="106" t="s">
        <v>21</v>
      </c>
    </row>
    <row r="6" spans="1:4" s="16" customFormat="1" ht="21" customHeight="1">
      <c r="A6" s="177" t="s">
        <v>24</v>
      </c>
      <c r="B6" s="177" t="s">
        <v>9</v>
      </c>
      <c r="C6" s="178"/>
      <c r="D6" s="179"/>
    </row>
    <row r="7" spans="1:4" ht="21" customHeight="1">
      <c r="A7" s="168" t="s">
        <v>25</v>
      </c>
      <c r="B7" s="169" t="s">
        <v>592</v>
      </c>
      <c r="C7" s="65" t="s">
        <v>27</v>
      </c>
      <c r="D7" s="66">
        <v>3</v>
      </c>
    </row>
    <row r="8" spans="1:4" ht="21" customHeight="1">
      <c r="A8" s="67" t="s">
        <v>913</v>
      </c>
      <c r="B8" s="64" t="s">
        <v>6</v>
      </c>
      <c r="C8" s="65" t="s">
        <v>914</v>
      </c>
      <c r="D8" s="66"/>
    </row>
    <row r="9" spans="1:4" ht="21" customHeight="1">
      <c r="A9" s="67"/>
      <c r="B9" s="64" t="s">
        <v>915</v>
      </c>
      <c r="C9" s="65" t="s">
        <v>916</v>
      </c>
      <c r="D9" s="66"/>
    </row>
    <row r="10" spans="1:4" ht="21" customHeight="1">
      <c r="A10" s="168" t="s">
        <v>28</v>
      </c>
      <c r="B10" s="169" t="s">
        <v>444</v>
      </c>
      <c r="C10" s="65" t="s">
        <v>392</v>
      </c>
      <c r="D10" s="66">
        <v>6</v>
      </c>
    </row>
    <row r="11" spans="1:4" ht="21" customHeight="1">
      <c r="A11" s="168" t="s">
        <v>30</v>
      </c>
      <c r="B11" s="169" t="s">
        <v>593</v>
      </c>
      <c r="C11" s="65" t="s">
        <v>33</v>
      </c>
      <c r="D11" s="66">
        <v>1</v>
      </c>
    </row>
    <row r="12" spans="1:4" s="16" customFormat="1" ht="21" customHeight="1">
      <c r="A12" s="177" t="s">
        <v>240</v>
      </c>
      <c r="B12" s="177" t="s">
        <v>438</v>
      </c>
      <c r="C12" s="178"/>
      <c r="D12" s="179"/>
    </row>
    <row r="13" spans="1:4" s="16" customFormat="1" ht="21" customHeight="1">
      <c r="A13" s="177" t="s">
        <v>241</v>
      </c>
      <c r="B13" s="177" t="s">
        <v>445</v>
      </c>
      <c r="C13" s="178"/>
      <c r="D13" s="179"/>
    </row>
    <row r="14" spans="1:4" ht="33" customHeight="1">
      <c r="A14" s="168" t="s">
        <v>594</v>
      </c>
      <c r="B14" s="169" t="s">
        <v>447</v>
      </c>
      <c r="C14" s="65" t="s">
        <v>27</v>
      </c>
      <c r="D14" s="66">
        <v>1271.78</v>
      </c>
    </row>
    <row r="15" spans="1:4" ht="33" customHeight="1">
      <c r="A15" s="168" t="s">
        <v>595</v>
      </c>
      <c r="B15" s="169" t="s">
        <v>450</v>
      </c>
      <c r="C15" s="65" t="s">
        <v>27</v>
      </c>
      <c r="D15" s="66">
        <v>1271.78</v>
      </c>
    </row>
    <row r="16" spans="1:4" ht="33" customHeight="1">
      <c r="A16" s="168" t="s">
        <v>596</v>
      </c>
      <c r="B16" s="169" t="s">
        <v>453</v>
      </c>
      <c r="C16" s="65" t="s">
        <v>27</v>
      </c>
      <c r="D16" s="66">
        <v>1271.78</v>
      </c>
    </row>
    <row r="17" spans="1:4" ht="33" customHeight="1">
      <c r="A17" s="168" t="s">
        <v>597</v>
      </c>
      <c r="B17" s="169" t="s">
        <v>456</v>
      </c>
      <c r="C17" s="65" t="s">
        <v>32</v>
      </c>
      <c r="D17" s="66">
        <v>155</v>
      </c>
    </row>
    <row r="18" spans="1:4" s="16" customFormat="1" ht="21" customHeight="1">
      <c r="A18" s="177" t="s">
        <v>598</v>
      </c>
      <c r="B18" s="177" t="s">
        <v>462</v>
      </c>
      <c r="C18" s="178"/>
      <c r="D18" s="179"/>
    </row>
    <row r="19" spans="1:4" ht="33" customHeight="1">
      <c r="A19" s="168" t="s">
        <v>599</v>
      </c>
      <c r="B19" s="169" t="s">
        <v>601</v>
      </c>
      <c r="C19" s="65" t="s">
        <v>27</v>
      </c>
      <c r="D19" s="66">
        <v>211.45</v>
      </c>
    </row>
    <row r="20" spans="1:4" ht="21" customHeight="1">
      <c r="A20" s="168" t="s">
        <v>602</v>
      </c>
      <c r="B20" s="169" t="s">
        <v>465</v>
      </c>
      <c r="C20" s="65" t="s">
        <v>466</v>
      </c>
      <c r="D20" s="66">
        <v>60</v>
      </c>
    </row>
    <row r="21" spans="1:4" s="16" customFormat="1" ht="21" customHeight="1">
      <c r="A21" s="177" t="s">
        <v>342</v>
      </c>
      <c r="B21" s="177" t="s">
        <v>10</v>
      </c>
      <c r="C21" s="178"/>
      <c r="D21" s="179"/>
    </row>
    <row r="22" spans="1:4" s="16" customFormat="1" ht="21" customHeight="1">
      <c r="A22" s="177" t="s">
        <v>279</v>
      </c>
      <c r="B22" s="177" t="s">
        <v>467</v>
      </c>
      <c r="C22" s="178"/>
      <c r="D22" s="179"/>
    </row>
    <row r="23" spans="1:4" ht="21" customHeight="1">
      <c r="A23" s="168" t="s">
        <v>280</v>
      </c>
      <c r="B23" s="169" t="s">
        <v>469</v>
      </c>
      <c r="C23" s="65" t="s">
        <v>27</v>
      </c>
      <c r="D23" s="66">
        <v>6.93</v>
      </c>
    </row>
    <row r="24" spans="1:4" ht="21" customHeight="1">
      <c r="A24" s="67" t="s">
        <v>913</v>
      </c>
      <c r="B24" s="64" t="s">
        <v>6</v>
      </c>
      <c r="C24" s="65" t="s">
        <v>914</v>
      </c>
      <c r="D24" s="66"/>
    </row>
    <row r="25" spans="1:4" ht="21" customHeight="1">
      <c r="A25" s="67"/>
      <c r="B25" s="64" t="s">
        <v>917</v>
      </c>
      <c r="C25" s="65" t="s">
        <v>918</v>
      </c>
      <c r="D25" s="66"/>
    </row>
    <row r="26" spans="1:4" ht="48" customHeight="1">
      <c r="A26" s="168" t="s">
        <v>281</v>
      </c>
      <c r="B26" s="169" t="s">
        <v>470</v>
      </c>
      <c r="C26" s="65" t="s">
        <v>33</v>
      </c>
      <c r="D26" s="66">
        <v>3</v>
      </c>
    </row>
    <row r="27" spans="1:4" ht="48" customHeight="1">
      <c r="A27" s="168" t="s">
        <v>282</v>
      </c>
      <c r="B27" s="169" t="s">
        <v>472</v>
      </c>
      <c r="C27" s="65" t="s">
        <v>33</v>
      </c>
      <c r="D27" s="66">
        <v>1</v>
      </c>
    </row>
    <row r="28" spans="1:4" s="16" customFormat="1" ht="21" customHeight="1">
      <c r="A28" s="177" t="s">
        <v>603</v>
      </c>
      <c r="B28" s="177" t="s">
        <v>473</v>
      </c>
      <c r="C28" s="178"/>
      <c r="D28" s="179"/>
    </row>
    <row r="29" spans="1:4" ht="21" customHeight="1">
      <c r="A29" s="168" t="s">
        <v>604</v>
      </c>
      <c r="B29" s="169" t="s">
        <v>475</v>
      </c>
      <c r="C29" s="65" t="s">
        <v>27</v>
      </c>
      <c r="D29" s="66">
        <v>12</v>
      </c>
    </row>
    <row r="30" spans="1:4" ht="33" customHeight="1">
      <c r="A30" s="168" t="s">
        <v>605</v>
      </c>
      <c r="B30" s="169" t="s">
        <v>354</v>
      </c>
      <c r="C30" s="65" t="s">
        <v>27</v>
      </c>
      <c r="D30" s="66">
        <v>6</v>
      </c>
    </row>
    <row r="31" spans="1:4" ht="33" customHeight="1">
      <c r="A31" s="168" t="s">
        <v>606</v>
      </c>
      <c r="B31" s="169" t="s">
        <v>355</v>
      </c>
      <c r="C31" s="65" t="s">
        <v>27</v>
      </c>
      <c r="D31" s="66">
        <v>6</v>
      </c>
    </row>
    <row r="32" spans="1:4" ht="21" customHeight="1">
      <c r="A32" s="168" t="s">
        <v>607</v>
      </c>
      <c r="B32" s="169" t="s">
        <v>608</v>
      </c>
      <c r="C32" s="65" t="s">
        <v>27</v>
      </c>
      <c r="D32" s="66">
        <v>15</v>
      </c>
    </row>
    <row r="33" spans="1:4" s="16" customFormat="1" ht="21" customHeight="1">
      <c r="A33" s="177" t="s">
        <v>609</v>
      </c>
      <c r="B33" s="177" t="s">
        <v>477</v>
      </c>
      <c r="C33" s="178"/>
      <c r="D33" s="179"/>
    </row>
    <row r="34" spans="1:4" ht="33" customHeight="1">
      <c r="A34" s="168" t="s">
        <v>610</v>
      </c>
      <c r="B34" s="169" t="s">
        <v>361</v>
      </c>
      <c r="C34" s="65" t="s">
        <v>33</v>
      </c>
      <c r="D34" s="66">
        <v>12</v>
      </c>
    </row>
    <row r="35" spans="1:4" ht="33" customHeight="1">
      <c r="A35" s="168" t="s">
        <v>611</v>
      </c>
      <c r="B35" s="169" t="s">
        <v>479</v>
      </c>
      <c r="C35" s="65" t="s">
        <v>33</v>
      </c>
      <c r="D35" s="66">
        <v>12</v>
      </c>
    </row>
    <row r="36" spans="1:4" s="16" customFormat="1" ht="21" customHeight="1">
      <c r="A36" s="177" t="s">
        <v>283</v>
      </c>
      <c r="B36" s="177" t="s">
        <v>385</v>
      </c>
      <c r="C36" s="178"/>
      <c r="D36" s="179"/>
    </row>
    <row r="37" spans="1:4" s="16" customFormat="1" ht="21" customHeight="1">
      <c r="A37" s="177" t="s">
        <v>284</v>
      </c>
      <c r="B37" s="177" t="s">
        <v>480</v>
      </c>
      <c r="C37" s="178"/>
      <c r="D37" s="179"/>
    </row>
    <row r="38" spans="1:4" ht="33" customHeight="1">
      <c r="A38" s="168" t="s">
        <v>285</v>
      </c>
      <c r="B38" s="169" t="s">
        <v>483</v>
      </c>
      <c r="C38" s="65" t="s">
        <v>33</v>
      </c>
      <c r="D38" s="66">
        <v>1</v>
      </c>
    </row>
    <row r="39" spans="1:4" ht="21" customHeight="1">
      <c r="A39" s="67" t="s">
        <v>913</v>
      </c>
      <c r="B39" s="64" t="s">
        <v>6</v>
      </c>
      <c r="C39" s="65" t="s">
        <v>914</v>
      </c>
      <c r="D39" s="66"/>
    </row>
    <row r="40" spans="1:4" ht="21" customHeight="1">
      <c r="A40" s="67"/>
      <c r="B40" s="64" t="s">
        <v>919</v>
      </c>
      <c r="C40" s="65">
        <v>1</v>
      </c>
      <c r="D40" s="66"/>
    </row>
    <row r="41" spans="1:4" ht="21" customHeight="1">
      <c r="A41" s="168" t="s">
        <v>448</v>
      </c>
      <c r="B41" s="169" t="s">
        <v>486</v>
      </c>
      <c r="C41" s="65" t="s">
        <v>33</v>
      </c>
      <c r="D41" s="66">
        <v>12</v>
      </c>
    </row>
    <row r="42" spans="1:4" ht="21" customHeight="1">
      <c r="A42" s="67" t="s">
        <v>913</v>
      </c>
      <c r="B42" s="64" t="s">
        <v>6</v>
      </c>
      <c r="C42" s="65" t="s">
        <v>914</v>
      </c>
      <c r="D42" s="66"/>
    </row>
    <row r="43" spans="1:4" ht="21" customHeight="1">
      <c r="A43" s="67"/>
      <c r="B43" s="64" t="s">
        <v>920</v>
      </c>
      <c r="C43" s="65">
        <v>12</v>
      </c>
      <c r="D43" s="66"/>
    </row>
    <row r="44" spans="1:4" ht="21" customHeight="1">
      <c r="A44" s="168" t="s">
        <v>451</v>
      </c>
      <c r="B44" s="169" t="s">
        <v>489</v>
      </c>
      <c r="C44" s="65" t="s">
        <v>33</v>
      </c>
      <c r="D44" s="66">
        <v>9</v>
      </c>
    </row>
    <row r="45" spans="1:4" ht="21" customHeight="1">
      <c r="A45" s="67" t="s">
        <v>913</v>
      </c>
      <c r="B45" s="64" t="s">
        <v>6</v>
      </c>
      <c r="C45" s="65" t="s">
        <v>914</v>
      </c>
      <c r="D45" s="66"/>
    </row>
    <row r="46" spans="1:4" ht="21" customHeight="1">
      <c r="A46" s="67"/>
      <c r="B46" s="64" t="s">
        <v>921</v>
      </c>
      <c r="C46" s="65">
        <v>9</v>
      </c>
      <c r="D46" s="66"/>
    </row>
    <row r="47" spans="1:4" ht="21" customHeight="1">
      <c r="A47" s="168" t="s">
        <v>454</v>
      </c>
      <c r="B47" s="169" t="s">
        <v>612</v>
      </c>
      <c r="C47" s="65" t="s">
        <v>507</v>
      </c>
      <c r="D47" s="66">
        <v>60</v>
      </c>
    </row>
    <row r="48" spans="1:4" s="16" customFormat="1" ht="21" customHeight="1">
      <c r="A48" s="177" t="s">
        <v>286</v>
      </c>
      <c r="B48" s="177" t="s">
        <v>490</v>
      </c>
      <c r="C48" s="178"/>
      <c r="D48" s="179"/>
    </row>
    <row r="49" spans="1:4" ht="21" customHeight="1">
      <c r="A49" s="168" t="s">
        <v>287</v>
      </c>
      <c r="B49" s="169" t="s">
        <v>492</v>
      </c>
      <c r="C49" s="65" t="s">
        <v>33</v>
      </c>
      <c r="D49" s="66">
        <v>1</v>
      </c>
    </row>
    <row r="50" spans="1:4" ht="21" customHeight="1">
      <c r="A50" s="67" t="s">
        <v>913</v>
      </c>
      <c r="B50" s="64" t="s">
        <v>6</v>
      </c>
      <c r="C50" s="65" t="s">
        <v>914</v>
      </c>
      <c r="D50" s="66"/>
    </row>
    <row r="51" spans="1:4" ht="21" customHeight="1">
      <c r="A51" s="67"/>
      <c r="B51" s="64" t="s">
        <v>922</v>
      </c>
      <c r="C51" s="65">
        <v>1</v>
      </c>
      <c r="D51" s="66"/>
    </row>
    <row r="52" spans="1:4" ht="21" customHeight="1">
      <c r="A52" s="168" t="s">
        <v>457</v>
      </c>
      <c r="B52" s="169" t="s">
        <v>495</v>
      </c>
      <c r="C52" s="65" t="s">
        <v>32</v>
      </c>
      <c r="D52" s="66">
        <v>12</v>
      </c>
    </row>
    <row r="53" spans="1:4" ht="21" customHeight="1">
      <c r="A53" s="67" t="s">
        <v>913</v>
      </c>
      <c r="B53" s="64" t="s">
        <v>6</v>
      </c>
      <c r="C53" s="65" t="s">
        <v>914</v>
      </c>
      <c r="D53" s="66"/>
    </row>
    <row r="54" spans="1:4" ht="21" customHeight="1">
      <c r="A54" s="67"/>
      <c r="B54" s="64" t="s">
        <v>923</v>
      </c>
      <c r="C54" s="65">
        <v>12</v>
      </c>
      <c r="D54" s="66"/>
    </row>
    <row r="55" spans="1:4" ht="21" customHeight="1">
      <c r="A55" s="168" t="s">
        <v>458</v>
      </c>
      <c r="B55" s="169" t="s">
        <v>497</v>
      </c>
      <c r="C55" s="65" t="s">
        <v>33</v>
      </c>
      <c r="D55" s="66">
        <v>1</v>
      </c>
    </row>
    <row r="56" spans="1:4" ht="21" customHeight="1">
      <c r="A56" s="67" t="s">
        <v>913</v>
      </c>
      <c r="B56" s="64" t="s">
        <v>6</v>
      </c>
      <c r="C56" s="65" t="s">
        <v>914</v>
      </c>
      <c r="D56" s="66"/>
    </row>
    <row r="57" spans="1:4" ht="21" customHeight="1">
      <c r="A57" s="67"/>
      <c r="B57" s="64" t="s">
        <v>924</v>
      </c>
      <c r="C57" s="65">
        <v>1</v>
      </c>
      <c r="D57" s="66"/>
    </row>
    <row r="58" spans="1:4" ht="21" customHeight="1">
      <c r="A58" s="168" t="s">
        <v>459</v>
      </c>
      <c r="B58" s="169" t="s">
        <v>500</v>
      </c>
      <c r="C58" s="65" t="s">
        <v>32</v>
      </c>
      <c r="D58" s="66">
        <v>250</v>
      </c>
    </row>
    <row r="59" spans="1:4" ht="21" customHeight="1">
      <c r="A59" s="67" t="s">
        <v>913</v>
      </c>
      <c r="B59" s="64" t="s">
        <v>6</v>
      </c>
      <c r="C59" s="65" t="s">
        <v>914</v>
      </c>
      <c r="D59" s="66"/>
    </row>
    <row r="60" spans="1:4" ht="21" customHeight="1">
      <c r="A60" s="67"/>
      <c r="B60" s="64" t="s">
        <v>925</v>
      </c>
      <c r="C60" s="65">
        <v>250</v>
      </c>
      <c r="D60" s="66"/>
    </row>
    <row r="61" spans="1:4" ht="21" customHeight="1">
      <c r="A61" s="168" t="s">
        <v>460</v>
      </c>
      <c r="B61" s="169" t="s">
        <v>503</v>
      </c>
      <c r="C61" s="65" t="s">
        <v>33</v>
      </c>
      <c r="D61" s="66">
        <v>1</v>
      </c>
    </row>
    <row r="62" spans="1:4" ht="21" customHeight="1">
      <c r="A62" s="67" t="s">
        <v>913</v>
      </c>
      <c r="B62" s="64" t="s">
        <v>6</v>
      </c>
      <c r="C62" s="65" t="s">
        <v>914</v>
      </c>
      <c r="D62" s="66"/>
    </row>
    <row r="63" spans="1:4" ht="21" customHeight="1">
      <c r="A63" s="67"/>
      <c r="B63" s="64" t="s">
        <v>926</v>
      </c>
      <c r="C63" s="65">
        <v>1</v>
      </c>
      <c r="D63" s="66"/>
    </row>
    <row r="64" spans="1:4" s="16" customFormat="1" ht="21" customHeight="1">
      <c r="A64" s="177" t="s">
        <v>461</v>
      </c>
      <c r="B64" s="177" t="s">
        <v>508</v>
      </c>
      <c r="C64" s="178"/>
      <c r="D64" s="179"/>
    </row>
    <row r="65" spans="1:4" ht="21" customHeight="1">
      <c r="A65" s="168" t="s">
        <v>463</v>
      </c>
      <c r="B65" s="169" t="s">
        <v>510</v>
      </c>
      <c r="C65" s="65" t="s">
        <v>33</v>
      </c>
      <c r="D65" s="66">
        <v>171</v>
      </c>
    </row>
    <row r="66" spans="1:4" ht="33" customHeight="1">
      <c r="A66" s="168" t="s">
        <v>613</v>
      </c>
      <c r="B66" s="169" t="s">
        <v>512</v>
      </c>
      <c r="C66" s="65" t="s">
        <v>33</v>
      </c>
      <c r="D66" s="66">
        <v>135</v>
      </c>
    </row>
    <row r="67" spans="1:4" ht="33" customHeight="1">
      <c r="A67" s="168" t="s">
        <v>614</v>
      </c>
      <c r="B67" s="169" t="s">
        <v>514</v>
      </c>
      <c r="C67" s="65" t="s">
        <v>33</v>
      </c>
      <c r="D67" s="66">
        <v>30</v>
      </c>
    </row>
    <row r="68" spans="1:4" ht="33" customHeight="1">
      <c r="A68" s="168" t="s">
        <v>615</v>
      </c>
      <c r="B68" s="169" t="s">
        <v>616</v>
      </c>
      <c r="C68" s="65" t="s">
        <v>33</v>
      </c>
      <c r="D68" s="66">
        <v>6</v>
      </c>
    </row>
    <row r="69" spans="1:4" s="16" customFormat="1" ht="21" customHeight="1">
      <c r="A69" s="177" t="s">
        <v>617</v>
      </c>
      <c r="B69" s="177" t="s">
        <v>515</v>
      </c>
      <c r="C69" s="178"/>
      <c r="D69" s="179"/>
    </row>
    <row r="70" spans="1:4" ht="21" customHeight="1">
      <c r="A70" s="168" t="s">
        <v>618</v>
      </c>
      <c r="B70" s="169" t="s">
        <v>517</v>
      </c>
      <c r="C70" s="65" t="s">
        <v>33</v>
      </c>
      <c r="D70" s="66">
        <v>205</v>
      </c>
    </row>
    <row r="71" spans="1:4" ht="33" customHeight="1">
      <c r="A71" s="168" t="s">
        <v>619</v>
      </c>
      <c r="B71" s="169" t="s">
        <v>519</v>
      </c>
      <c r="C71" s="65" t="s">
        <v>33</v>
      </c>
      <c r="D71" s="66">
        <v>52</v>
      </c>
    </row>
    <row r="72" spans="1:4" ht="33" customHeight="1">
      <c r="A72" s="168" t="s">
        <v>620</v>
      </c>
      <c r="B72" s="169" t="s">
        <v>521</v>
      </c>
      <c r="C72" s="65" t="s">
        <v>33</v>
      </c>
      <c r="D72" s="66">
        <v>20</v>
      </c>
    </row>
    <row r="73" spans="1:4" ht="33" customHeight="1">
      <c r="A73" s="168" t="s">
        <v>621</v>
      </c>
      <c r="B73" s="169" t="s">
        <v>623</v>
      </c>
      <c r="C73" s="65" t="s">
        <v>33</v>
      </c>
      <c r="D73" s="66">
        <v>7</v>
      </c>
    </row>
    <row r="74" spans="1:4" ht="33" customHeight="1">
      <c r="A74" s="168" t="s">
        <v>624</v>
      </c>
      <c r="B74" s="169" t="s">
        <v>523</v>
      </c>
      <c r="C74" s="65" t="s">
        <v>33</v>
      </c>
      <c r="D74" s="66">
        <v>126</v>
      </c>
    </row>
    <row r="75" spans="1:4" s="16" customFormat="1" ht="21" customHeight="1">
      <c r="A75" s="177" t="s">
        <v>288</v>
      </c>
      <c r="B75" s="177" t="s">
        <v>384</v>
      </c>
      <c r="C75" s="178"/>
      <c r="D75" s="179"/>
    </row>
    <row r="76" spans="1:4" s="16" customFormat="1" ht="21" customHeight="1">
      <c r="A76" s="177" t="s">
        <v>289</v>
      </c>
      <c r="B76" s="177" t="s">
        <v>524</v>
      </c>
      <c r="C76" s="178"/>
      <c r="D76" s="179"/>
    </row>
    <row r="77" spans="1:4" ht="21" customHeight="1">
      <c r="A77" s="168" t="s">
        <v>625</v>
      </c>
      <c r="B77" s="169" t="s">
        <v>527</v>
      </c>
      <c r="C77" s="65" t="s">
        <v>507</v>
      </c>
      <c r="D77" s="66">
        <v>50</v>
      </c>
    </row>
    <row r="78" spans="1:4" ht="21" customHeight="1">
      <c r="A78" s="67" t="s">
        <v>913</v>
      </c>
      <c r="B78" s="64" t="s">
        <v>6</v>
      </c>
      <c r="C78" s="65" t="s">
        <v>914</v>
      </c>
      <c r="D78" s="66"/>
    </row>
    <row r="79" spans="1:4" ht="21" customHeight="1">
      <c r="A79" s="67"/>
      <c r="B79" s="64" t="s">
        <v>927</v>
      </c>
      <c r="C79" s="65">
        <v>50</v>
      </c>
      <c r="D79" s="66"/>
    </row>
    <row r="80" spans="1:4" ht="21" customHeight="1">
      <c r="A80" s="168" t="s">
        <v>626</v>
      </c>
      <c r="B80" s="169" t="s">
        <v>530</v>
      </c>
      <c r="C80" s="65" t="s">
        <v>507</v>
      </c>
      <c r="D80" s="66">
        <v>60</v>
      </c>
    </row>
    <row r="81" spans="1:4" ht="21" customHeight="1">
      <c r="A81" s="67" t="s">
        <v>913</v>
      </c>
      <c r="B81" s="64" t="s">
        <v>6</v>
      </c>
      <c r="C81" s="65" t="s">
        <v>914</v>
      </c>
      <c r="D81" s="66"/>
    </row>
    <row r="82" spans="1:4" ht="21" customHeight="1">
      <c r="A82" s="67"/>
      <c r="B82" s="64" t="s">
        <v>928</v>
      </c>
      <c r="C82" s="65">
        <v>60</v>
      </c>
      <c r="D82" s="66"/>
    </row>
    <row r="83" spans="1:4" s="16" customFormat="1" ht="21" customHeight="1">
      <c r="A83" s="177" t="s">
        <v>290</v>
      </c>
      <c r="B83" s="177" t="s">
        <v>532</v>
      </c>
      <c r="C83" s="178"/>
      <c r="D83" s="179"/>
    </row>
    <row r="84" spans="1:4" ht="21" customHeight="1">
      <c r="A84" s="168" t="s">
        <v>627</v>
      </c>
      <c r="B84" s="169" t="s">
        <v>535</v>
      </c>
      <c r="C84" s="65" t="s">
        <v>33</v>
      </c>
      <c r="D84" s="66">
        <v>51</v>
      </c>
    </row>
    <row r="85" spans="1:4" ht="21" customHeight="1">
      <c r="A85" s="168" t="s">
        <v>628</v>
      </c>
      <c r="B85" s="169" t="s">
        <v>352</v>
      </c>
      <c r="C85" s="65" t="s">
        <v>33</v>
      </c>
      <c r="D85" s="66">
        <v>1</v>
      </c>
    </row>
    <row r="86" spans="1:4" ht="48" customHeight="1">
      <c r="A86" s="168" t="s">
        <v>629</v>
      </c>
      <c r="B86" s="169" t="s">
        <v>538</v>
      </c>
      <c r="C86" s="65" t="s">
        <v>33</v>
      </c>
      <c r="D86" s="66">
        <v>1</v>
      </c>
    </row>
    <row r="87" spans="1:4" ht="33" customHeight="1">
      <c r="A87" s="168" t="s">
        <v>630</v>
      </c>
      <c r="B87" s="169" t="s">
        <v>539</v>
      </c>
      <c r="C87" s="65" t="s">
        <v>33</v>
      </c>
      <c r="D87" s="66">
        <v>14</v>
      </c>
    </row>
    <row r="88" spans="1:4" ht="33" customHeight="1">
      <c r="A88" s="168" t="s">
        <v>631</v>
      </c>
      <c r="B88" s="169" t="s">
        <v>541</v>
      </c>
      <c r="C88" s="65" t="s">
        <v>33</v>
      </c>
      <c r="D88" s="66">
        <v>31</v>
      </c>
    </row>
    <row r="89" spans="1:4" ht="21" customHeight="1">
      <c r="A89" s="168" t="s">
        <v>632</v>
      </c>
      <c r="B89" s="169" t="s">
        <v>424</v>
      </c>
      <c r="C89" s="65" t="s">
        <v>33</v>
      </c>
      <c r="D89" s="66">
        <v>6</v>
      </c>
    </row>
    <row r="90" spans="1:4" ht="33" customHeight="1">
      <c r="A90" s="168" t="s">
        <v>633</v>
      </c>
      <c r="B90" s="169" t="s">
        <v>543</v>
      </c>
      <c r="C90" s="65" t="s">
        <v>33</v>
      </c>
      <c r="D90" s="66">
        <v>2</v>
      </c>
    </row>
    <row r="91" spans="1:4" ht="21" customHeight="1">
      <c r="A91" s="168" t="s">
        <v>634</v>
      </c>
      <c r="B91" s="169" t="s">
        <v>422</v>
      </c>
      <c r="C91" s="65" t="s">
        <v>33</v>
      </c>
      <c r="D91" s="66">
        <v>30</v>
      </c>
    </row>
    <row r="92" spans="1:4" ht="33" customHeight="1">
      <c r="A92" s="168" t="s">
        <v>635</v>
      </c>
      <c r="B92" s="169" t="s">
        <v>544</v>
      </c>
      <c r="C92" s="65" t="s">
        <v>33</v>
      </c>
      <c r="D92" s="66">
        <v>1</v>
      </c>
    </row>
    <row r="93" spans="1:4" ht="33" customHeight="1">
      <c r="A93" s="168" t="s">
        <v>636</v>
      </c>
      <c r="B93" s="169" t="s">
        <v>546</v>
      </c>
      <c r="C93" s="65" t="s">
        <v>33</v>
      </c>
      <c r="D93" s="66">
        <v>12</v>
      </c>
    </row>
    <row r="94" spans="1:4" s="16" customFormat="1" ht="21" customHeight="1">
      <c r="A94" s="177" t="s">
        <v>637</v>
      </c>
      <c r="B94" s="177" t="s">
        <v>462</v>
      </c>
      <c r="C94" s="178"/>
      <c r="D94" s="179"/>
    </row>
    <row r="95" spans="1:4" ht="33" customHeight="1">
      <c r="A95" s="168" t="s">
        <v>638</v>
      </c>
      <c r="B95" s="169" t="s">
        <v>550</v>
      </c>
      <c r="C95" s="65" t="s">
        <v>33</v>
      </c>
      <c r="D95" s="66">
        <v>1</v>
      </c>
    </row>
    <row r="96" spans="1:4" ht="33" customHeight="1">
      <c r="A96" s="168" t="s">
        <v>639</v>
      </c>
      <c r="B96" s="169" t="s">
        <v>552</v>
      </c>
      <c r="C96" s="65" t="s">
        <v>33</v>
      </c>
      <c r="D96" s="66">
        <v>2</v>
      </c>
    </row>
    <row r="97" spans="1:4" ht="33" customHeight="1">
      <c r="A97" s="168" t="s">
        <v>640</v>
      </c>
      <c r="B97" s="169" t="s">
        <v>554</v>
      </c>
      <c r="C97" s="65" t="s">
        <v>33</v>
      </c>
      <c r="D97" s="66">
        <v>1</v>
      </c>
    </row>
    <row r="98" spans="1:4" ht="21" customHeight="1">
      <c r="A98" s="168" t="s">
        <v>641</v>
      </c>
      <c r="B98" s="169" t="s">
        <v>556</v>
      </c>
      <c r="C98" s="65" t="s">
        <v>33</v>
      </c>
      <c r="D98" s="66">
        <v>2</v>
      </c>
    </row>
    <row r="99" spans="1:4" ht="21" customHeight="1">
      <c r="A99" s="168" t="s">
        <v>642</v>
      </c>
      <c r="B99" s="169" t="s">
        <v>558</v>
      </c>
      <c r="C99" s="65" t="s">
        <v>33</v>
      </c>
      <c r="D99" s="66">
        <v>1</v>
      </c>
    </row>
    <row r="100" spans="1:4" s="16" customFormat="1" ht="21" customHeight="1">
      <c r="A100" s="177" t="s">
        <v>291</v>
      </c>
      <c r="B100" s="177" t="s">
        <v>439</v>
      </c>
      <c r="C100" s="178"/>
      <c r="D100" s="179"/>
    </row>
    <row r="101" spans="1:4" ht="21" customHeight="1">
      <c r="A101" s="168" t="s">
        <v>292</v>
      </c>
      <c r="B101" s="169" t="s">
        <v>564</v>
      </c>
      <c r="C101" s="65" t="s">
        <v>27</v>
      </c>
      <c r="D101" s="66">
        <v>100</v>
      </c>
    </row>
    <row r="102" spans="1:4" ht="21" customHeight="1">
      <c r="A102" s="67" t="s">
        <v>913</v>
      </c>
      <c r="B102" s="64" t="s">
        <v>6</v>
      </c>
      <c r="C102" s="65" t="s">
        <v>914</v>
      </c>
      <c r="D102" s="66"/>
    </row>
    <row r="103" spans="1:4" ht="21" customHeight="1">
      <c r="A103" s="67"/>
      <c r="B103" s="64" t="s">
        <v>929</v>
      </c>
      <c r="C103" s="65" t="s">
        <v>930</v>
      </c>
      <c r="D103" s="66"/>
    </row>
    <row r="104" spans="1:4" ht="33" customHeight="1">
      <c r="A104" s="168" t="s">
        <v>294</v>
      </c>
      <c r="B104" s="169" t="s">
        <v>560</v>
      </c>
      <c r="C104" s="65" t="s">
        <v>27</v>
      </c>
      <c r="D104" s="66">
        <v>100</v>
      </c>
    </row>
    <row r="105" spans="1:4" ht="21" customHeight="1">
      <c r="A105" s="67" t="s">
        <v>913</v>
      </c>
      <c r="B105" s="64" t="s">
        <v>6</v>
      </c>
      <c r="C105" s="65" t="s">
        <v>914</v>
      </c>
      <c r="D105" s="66"/>
    </row>
    <row r="106" spans="1:4" ht="21" customHeight="1">
      <c r="A106" s="67"/>
      <c r="B106" s="64" t="s">
        <v>929</v>
      </c>
      <c r="C106" s="65" t="s">
        <v>931</v>
      </c>
      <c r="D106" s="66"/>
    </row>
    <row r="107" spans="1:4" ht="33" customHeight="1">
      <c r="A107" s="168" t="s">
        <v>345</v>
      </c>
      <c r="B107" s="169" t="s">
        <v>562</v>
      </c>
      <c r="C107" s="65" t="s">
        <v>27</v>
      </c>
      <c r="D107" s="66">
        <v>100</v>
      </c>
    </row>
    <row r="108" spans="1:4" ht="21" customHeight="1">
      <c r="A108" s="67" t="s">
        <v>913</v>
      </c>
      <c r="B108" s="64" t="s">
        <v>6</v>
      </c>
      <c r="C108" s="65" t="s">
        <v>914</v>
      </c>
      <c r="D108" s="66"/>
    </row>
    <row r="109" spans="1:4" ht="21" customHeight="1">
      <c r="A109" s="67"/>
      <c r="B109" s="64" t="s">
        <v>929</v>
      </c>
      <c r="C109" s="65" t="s">
        <v>931</v>
      </c>
      <c r="D109" s="66"/>
    </row>
    <row r="110" spans="1:4" ht="33" customHeight="1">
      <c r="A110" s="168" t="s">
        <v>346</v>
      </c>
      <c r="B110" s="169" t="s">
        <v>565</v>
      </c>
      <c r="C110" s="65" t="s">
        <v>27</v>
      </c>
      <c r="D110" s="66">
        <v>100</v>
      </c>
    </row>
    <row r="111" spans="1:4" ht="21" customHeight="1">
      <c r="A111" s="67" t="s">
        <v>913</v>
      </c>
      <c r="B111" s="64" t="s">
        <v>6</v>
      </c>
      <c r="C111" s="65" t="s">
        <v>914</v>
      </c>
      <c r="D111" s="66"/>
    </row>
    <row r="112" spans="1:4" ht="21" customHeight="1">
      <c r="A112" s="67"/>
      <c r="B112" s="64" t="s">
        <v>929</v>
      </c>
      <c r="C112" s="65" t="s">
        <v>931</v>
      </c>
      <c r="D112" s="66"/>
    </row>
    <row r="113" spans="1:4" ht="21" customHeight="1">
      <c r="A113" s="168" t="s">
        <v>347</v>
      </c>
      <c r="B113" s="169" t="s">
        <v>644</v>
      </c>
      <c r="C113" s="65" t="s">
        <v>27</v>
      </c>
      <c r="D113" s="66">
        <v>80</v>
      </c>
    </row>
    <row r="114" spans="1:4" ht="21" customHeight="1">
      <c r="A114" s="67" t="s">
        <v>913</v>
      </c>
      <c r="B114" s="64" t="s">
        <v>6</v>
      </c>
      <c r="C114" s="65" t="s">
        <v>914</v>
      </c>
      <c r="D114" s="66"/>
    </row>
    <row r="115" spans="1:4" ht="21" customHeight="1">
      <c r="A115" s="67"/>
      <c r="B115" s="64" t="s">
        <v>929</v>
      </c>
      <c r="C115" s="65" t="s">
        <v>932</v>
      </c>
      <c r="D115" s="66"/>
    </row>
    <row r="116" spans="1:4" s="16" customFormat="1" ht="21" customHeight="1">
      <c r="A116" s="177" t="s">
        <v>295</v>
      </c>
      <c r="B116" s="177" t="s">
        <v>440</v>
      </c>
      <c r="C116" s="178"/>
      <c r="D116" s="179"/>
    </row>
    <row r="117" spans="1:4" s="16" customFormat="1" ht="21" customHeight="1">
      <c r="A117" s="177" t="s">
        <v>296</v>
      </c>
      <c r="B117" s="177" t="s">
        <v>645</v>
      </c>
      <c r="C117" s="178"/>
      <c r="D117" s="179"/>
    </row>
    <row r="118" spans="1:4" ht="21" customHeight="1">
      <c r="A118" s="168" t="s">
        <v>481</v>
      </c>
      <c r="B118" s="169" t="s">
        <v>564</v>
      </c>
      <c r="C118" s="65" t="s">
        <v>27</v>
      </c>
      <c r="D118" s="66">
        <v>150</v>
      </c>
    </row>
    <row r="119" spans="1:4" ht="21" customHeight="1">
      <c r="A119" s="67" t="s">
        <v>913</v>
      </c>
      <c r="B119" s="64" t="s">
        <v>6</v>
      </c>
      <c r="C119" s="65" t="s">
        <v>914</v>
      </c>
      <c r="D119" s="66"/>
    </row>
    <row r="120" spans="1:4" ht="21" customHeight="1">
      <c r="A120" s="67"/>
      <c r="B120" s="64" t="s">
        <v>933</v>
      </c>
      <c r="C120" s="65" t="s">
        <v>934</v>
      </c>
      <c r="D120" s="66"/>
    </row>
    <row r="121" spans="1:4" ht="21" customHeight="1">
      <c r="A121" s="168" t="s">
        <v>484</v>
      </c>
      <c r="B121" s="169" t="s">
        <v>567</v>
      </c>
      <c r="C121" s="65" t="s">
        <v>32</v>
      </c>
      <c r="D121" s="66">
        <v>100</v>
      </c>
    </row>
    <row r="122" spans="1:4" ht="21" customHeight="1">
      <c r="A122" s="67" t="s">
        <v>913</v>
      </c>
      <c r="B122" s="64" t="s">
        <v>6</v>
      </c>
      <c r="C122" s="65" t="s">
        <v>914</v>
      </c>
      <c r="D122" s="66"/>
    </row>
    <row r="123" spans="1:4" ht="21" customHeight="1">
      <c r="A123" s="67"/>
      <c r="B123" s="64" t="s">
        <v>933</v>
      </c>
      <c r="C123" s="65">
        <v>100</v>
      </c>
      <c r="D123" s="66"/>
    </row>
    <row r="124" spans="1:4" ht="21" customHeight="1">
      <c r="A124" s="168" t="s">
        <v>487</v>
      </c>
      <c r="B124" s="169" t="s">
        <v>569</v>
      </c>
      <c r="C124" s="65" t="s">
        <v>27</v>
      </c>
      <c r="D124" s="66">
        <v>60</v>
      </c>
    </row>
    <row r="125" spans="1:4" ht="21" customHeight="1">
      <c r="A125" s="67" t="s">
        <v>913</v>
      </c>
      <c r="B125" s="64" t="s">
        <v>6</v>
      </c>
      <c r="C125" s="65" t="s">
        <v>914</v>
      </c>
      <c r="D125" s="66"/>
    </row>
    <row r="126" spans="1:4" ht="21" customHeight="1">
      <c r="A126" s="67"/>
      <c r="B126" s="64" t="s">
        <v>933</v>
      </c>
      <c r="C126" s="65">
        <v>60</v>
      </c>
      <c r="D126" s="66"/>
    </row>
    <row r="127" spans="1:4" ht="33" customHeight="1">
      <c r="A127" s="168" t="s">
        <v>646</v>
      </c>
      <c r="B127" s="169" t="s">
        <v>570</v>
      </c>
      <c r="C127" s="65" t="s">
        <v>27</v>
      </c>
      <c r="D127" s="66">
        <v>150</v>
      </c>
    </row>
    <row r="128" spans="1:4" ht="21" customHeight="1">
      <c r="A128" s="67" t="s">
        <v>913</v>
      </c>
      <c r="B128" s="64" t="s">
        <v>6</v>
      </c>
      <c r="C128" s="65" t="s">
        <v>914</v>
      </c>
      <c r="D128" s="66"/>
    </row>
    <row r="129" spans="1:4" ht="21" customHeight="1">
      <c r="A129" s="67"/>
      <c r="B129" s="64" t="s">
        <v>933</v>
      </c>
      <c r="C129" s="65">
        <v>150</v>
      </c>
      <c r="D129" s="66"/>
    </row>
    <row r="130" spans="1:4" ht="33" customHeight="1">
      <c r="A130" s="168" t="s">
        <v>647</v>
      </c>
      <c r="B130" s="169" t="s">
        <v>572</v>
      </c>
      <c r="C130" s="65" t="s">
        <v>32</v>
      </c>
      <c r="D130" s="66">
        <v>100</v>
      </c>
    </row>
    <row r="131" spans="1:4" ht="21" customHeight="1">
      <c r="A131" s="67" t="s">
        <v>913</v>
      </c>
      <c r="B131" s="64" t="s">
        <v>6</v>
      </c>
      <c r="C131" s="65" t="s">
        <v>914</v>
      </c>
      <c r="D131" s="66"/>
    </row>
    <row r="132" spans="1:4" ht="21" customHeight="1">
      <c r="A132" s="67"/>
      <c r="B132" s="64" t="s">
        <v>933</v>
      </c>
      <c r="C132" s="65">
        <v>100</v>
      </c>
      <c r="D132" s="66"/>
    </row>
    <row r="133" spans="1:4" s="16" customFormat="1" ht="21" customHeight="1">
      <c r="A133" s="177" t="s">
        <v>297</v>
      </c>
      <c r="B133" s="177" t="s">
        <v>648</v>
      </c>
      <c r="C133" s="178"/>
      <c r="D133" s="179"/>
    </row>
    <row r="134" spans="1:4" ht="33" customHeight="1">
      <c r="A134" s="168" t="s">
        <v>491</v>
      </c>
      <c r="B134" s="169" t="s">
        <v>650</v>
      </c>
      <c r="C134" s="65" t="s">
        <v>31</v>
      </c>
      <c r="D134" s="66">
        <v>20.97</v>
      </c>
    </row>
    <row r="135" spans="1:4" ht="21" customHeight="1">
      <c r="A135" s="67" t="s">
        <v>913</v>
      </c>
      <c r="B135" s="64" t="s">
        <v>6</v>
      </c>
      <c r="C135" s="65" t="s">
        <v>914</v>
      </c>
      <c r="D135" s="66"/>
    </row>
    <row r="136" spans="1:4" ht="21" customHeight="1">
      <c r="A136" s="67"/>
      <c r="B136" s="64" t="s">
        <v>935</v>
      </c>
      <c r="C136" s="65" t="s">
        <v>936</v>
      </c>
      <c r="D136" s="66"/>
    </row>
    <row r="137" spans="1:4" ht="21" customHeight="1">
      <c r="A137" s="168" t="s">
        <v>493</v>
      </c>
      <c r="B137" s="169" t="s">
        <v>651</v>
      </c>
      <c r="C137" s="65" t="s">
        <v>31</v>
      </c>
      <c r="D137" s="66">
        <v>7</v>
      </c>
    </row>
    <row r="138" spans="1:4" ht="21" customHeight="1">
      <c r="A138" s="67" t="s">
        <v>913</v>
      </c>
      <c r="B138" s="64" t="s">
        <v>6</v>
      </c>
      <c r="C138" s="65" t="s">
        <v>914</v>
      </c>
      <c r="D138" s="66"/>
    </row>
    <row r="139" spans="1:4" ht="21" customHeight="1">
      <c r="A139" s="67"/>
      <c r="B139" s="64" t="s">
        <v>937</v>
      </c>
      <c r="C139" s="65">
        <v>7</v>
      </c>
      <c r="D139" s="66"/>
    </row>
    <row r="140" spans="1:4" ht="21" customHeight="1">
      <c r="A140" s="168" t="s">
        <v>496</v>
      </c>
      <c r="B140" s="169" t="s">
        <v>653</v>
      </c>
      <c r="C140" s="65" t="s">
        <v>31</v>
      </c>
      <c r="D140" s="66">
        <v>3.1480000000000001</v>
      </c>
    </row>
    <row r="141" spans="1:4" ht="21" customHeight="1">
      <c r="A141" s="67" t="s">
        <v>913</v>
      </c>
      <c r="B141" s="64" t="s">
        <v>6</v>
      </c>
      <c r="C141" s="65" t="s">
        <v>914</v>
      </c>
      <c r="D141" s="66"/>
    </row>
    <row r="142" spans="1:4" ht="21" customHeight="1">
      <c r="A142" s="67"/>
      <c r="B142" s="64" t="s">
        <v>937</v>
      </c>
      <c r="C142" s="65" t="s">
        <v>938</v>
      </c>
      <c r="D142" s="66"/>
    </row>
    <row r="143" spans="1:4" ht="33" customHeight="1">
      <c r="A143" s="168" t="s">
        <v>498</v>
      </c>
      <c r="B143" s="169" t="s">
        <v>655</v>
      </c>
      <c r="C143" s="65" t="s">
        <v>27</v>
      </c>
      <c r="D143" s="66">
        <v>31.48</v>
      </c>
    </row>
    <row r="144" spans="1:4" ht="21" customHeight="1">
      <c r="A144" s="67" t="s">
        <v>913</v>
      </c>
      <c r="B144" s="64" t="s">
        <v>6</v>
      </c>
      <c r="C144" s="65" t="s">
        <v>914</v>
      </c>
      <c r="D144" s="66"/>
    </row>
    <row r="145" spans="1:4" ht="21" customHeight="1">
      <c r="A145" s="67"/>
      <c r="B145" s="64" t="s">
        <v>937</v>
      </c>
      <c r="C145" s="65" t="s">
        <v>939</v>
      </c>
      <c r="D145" s="66"/>
    </row>
    <row r="146" spans="1:4" ht="21" customHeight="1">
      <c r="A146" s="168" t="s">
        <v>501</v>
      </c>
      <c r="B146" s="169" t="s">
        <v>657</v>
      </c>
      <c r="C146" s="65" t="s">
        <v>27</v>
      </c>
      <c r="D146" s="66">
        <v>209.73</v>
      </c>
    </row>
    <row r="147" spans="1:4" ht="21" customHeight="1">
      <c r="A147" s="67" t="s">
        <v>913</v>
      </c>
      <c r="B147" s="64" t="s">
        <v>6</v>
      </c>
      <c r="C147" s="65" t="s">
        <v>914</v>
      </c>
      <c r="D147" s="66"/>
    </row>
    <row r="148" spans="1:4" ht="21" customHeight="1">
      <c r="A148" s="67"/>
      <c r="B148" s="64" t="s">
        <v>951</v>
      </c>
      <c r="C148" s="65" t="s">
        <v>940</v>
      </c>
      <c r="D148" s="66"/>
    </row>
    <row r="149" spans="1:4" s="16" customFormat="1" ht="21" customHeight="1">
      <c r="A149" s="177" t="s">
        <v>298</v>
      </c>
      <c r="B149" s="177" t="s">
        <v>658</v>
      </c>
      <c r="C149" s="178"/>
      <c r="D149" s="179"/>
    </row>
    <row r="150" spans="1:4" ht="21" customHeight="1">
      <c r="A150" s="168" t="s">
        <v>504</v>
      </c>
      <c r="B150" s="169" t="s">
        <v>660</v>
      </c>
      <c r="C150" s="65" t="s">
        <v>32</v>
      </c>
      <c r="D150" s="66">
        <v>60</v>
      </c>
    </row>
    <row r="151" spans="1:4" ht="33" customHeight="1">
      <c r="A151" s="168" t="s">
        <v>505</v>
      </c>
      <c r="B151" s="169" t="s">
        <v>662</v>
      </c>
      <c r="C151" s="65" t="s">
        <v>32</v>
      </c>
      <c r="D151" s="66">
        <v>60</v>
      </c>
    </row>
    <row r="152" spans="1:4" ht="21" customHeight="1">
      <c r="A152" s="168" t="s">
        <v>663</v>
      </c>
      <c r="B152" s="169" t="s">
        <v>665</v>
      </c>
      <c r="C152" s="65" t="s">
        <v>27</v>
      </c>
      <c r="D152" s="66">
        <v>230</v>
      </c>
    </row>
    <row r="153" spans="1:4" ht="48" customHeight="1">
      <c r="A153" s="168" t="s">
        <v>666</v>
      </c>
      <c r="B153" s="169" t="s">
        <v>668</v>
      </c>
      <c r="C153" s="65" t="s">
        <v>27</v>
      </c>
      <c r="D153" s="66">
        <v>230</v>
      </c>
    </row>
    <row r="154" spans="1:4" s="16" customFormat="1" ht="21" customHeight="1">
      <c r="A154" s="177" t="s">
        <v>299</v>
      </c>
      <c r="B154" s="177" t="s">
        <v>441</v>
      </c>
      <c r="C154" s="178"/>
      <c r="D154" s="179"/>
    </row>
    <row r="155" spans="1:4" s="16" customFormat="1" ht="21" customHeight="1">
      <c r="A155" s="177" t="s">
        <v>300</v>
      </c>
      <c r="B155" s="177" t="s">
        <v>669</v>
      </c>
      <c r="C155" s="178"/>
      <c r="D155" s="179"/>
    </row>
    <row r="156" spans="1:4" ht="21" customHeight="1">
      <c r="A156" s="168" t="s">
        <v>525</v>
      </c>
      <c r="B156" s="169" t="s">
        <v>671</v>
      </c>
      <c r="C156" s="65" t="s">
        <v>27</v>
      </c>
      <c r="D156" s="66">
        <v>2692.94</v>
      </c>
    </row>
    <row r="157" spans="1:4" ht="21" customHeight="1">
      <c r="A157" s="67" t="s">
        <v>913</v>
      </c>
      <c r="B157" s="64" t="s">
        <v>6</v>
      </c>
      <c r="C157" s="65" t="s">
        <v>914</v>
      </c>
      <c r="D157" s="66"/>
    </row>
    <row r="158" spans="1:4" ht="21" customHeight="1">
      <c r="A158" s="67"/>
      <c r="B158" s="64" t="s">
        <v>941</v>
      </c>
      <c r="C158" s="65" t="s">
        <v>942</v>
      </c>
      <c r="D158" s="66"/>
    </row>
    <row r="159" spans="1:4" ht="21" customHeight="1">
      <c r="A159" s="168" t="s">
        <v>528</v>
      </c>
      <c r="B159" s="169" t="s">
        <v>574</v>
      </c>
      <c r="C159" s="65" t="s">
        <v>27</v>
      </c>
      <c r="D159" s="66">
        <v>1322.26</v>
      </c>
    </row>
    <row r="160" spans="1:4" ht="21" customHeight="1">
      <c r="A160" s="67" t="s">
        <v>913</v>
      </c>
      <c r="B160" s="64" t="s">
        <v>6</v>
      </c>
      <c r="C160" s="65" t="s">
        <v>914</v>
      </c>
      <c r="D160" s="66"/>
    </row>
    <row r="161" spans="1:4" ht="21" customHeight="1">
      <c r="A161" s="67"/>
      <c r="B161" s="64" t="s">
        <v>943</v>
      </c>
      <c r="C161" s="65" t="s">
        <v>944</v>
      </c>
      <c r="D161" s="66"/>
    </row>
    <row r="162" spans="1:4" ht="33" customHeight="1">
      <c r="A162" s="168" t="s">
        <v>672</v>
      </c>
      <c r="B162" s="169" t="s">
        <v>576</v>
      </c>
      <c r="C162" s="65" t="s">
        <v>27</v>
      </c>
      <c r="D162" s="66">
        <v>638.78</v>
      </c>
    </row>
    <row r="163" spans="1:4" ht="21" customHeight="1">
      <c r="A163" s="67" t="s">
        <v>913</v>
      </c>
      <c r="B163" s="64" t="s">
        <v>6</v>
      </c>
      <c r="C163" s="65" t="s">
        <v>914</v>
      </c>
      <c r="D163" s="66"/>
    </row>
    <row r="164" spans="1:4" ht="21" customHeight="1">
      <c r="A164" s="67"/>
      <c r="B164" s="64" t="s">
        <v>945</v>
      </c>
      <c r="C164" s="65" t="s">
        <v>946</v>
      </c>
      <c r="D164" s="66"/>
    </row>
    <row r="165" spans="1:4" ht="21" customHeight="1">
      <c r="A165" s="168" t="s">
        <v>673</v>
      </c>
      <c r="B165" s="169" t="s">
        <v>577</v>
      </c>
      <c r="C165" s="65" t="s">
        <v>27</v>
      </c>
      <c r="D165" s="66">
        <v>1322.26</v>
      </c>
    </row>
    <row r="166" spans="1:4" ht="21" customHeight="1">
      <c r="A166" s="67" t="s">
        <v>913</v>
      </c>
      <c r="B166" s="64" t="s">
        <v>6</v>
      </c>
      <c r="C166" s="65" t="s">
        <v>914</v>
      </c>
      <c r="D166" s="66"/>
    </row>
    <row r="167" spans="1:4" ht="21" customHeight="1">
      <c r="A167" s="67"/>
      <c r="B167" s="64" t="s">
        <v>943</v>
      </c>
      <c r="C167" s="65" t="s">
        <v>944</v>
      </c>
      <c r="D167" s="66"/>
    </row>
    <row r="168" spans="1:4" s="16" customFormat="1" ht="21" customHeight="1">
      <c r="A168" s="177" t="s">
        <v>531</v>
      </c>
      <c r="B168" s="177" t="s">
        <v>674</v>
      </c>
      <c r="C168" s="178"/>
      <c r="D168" s="179"/>
    </row>
    <row r="169" spans="1:4" ht="21" customHeight="1">
      <c r="A169" s="168" t="s">
        <v>533</v>
      </c>
      <c r="B169" s="169" t="s">
        <v>676</v>
      </c>
      <c r="C169" s="65" t="s">
        <v>27</v>
      </c>
      <c r="D169" s="66">
        <v>732.68</v>
      </c>
    </row>
    <row r="170" spans="1:4" ht="21" customHeight="1">
      <c r="A170" s="168" t="s">
        <v>536</v>
      </c>
      <c r="B170" s="169" t="s">
        <v>678</v>
      </c>
      <c r="C170" s="65" t="s">
        <v>27</v>
      </c>
      <c r="D170" s="66">
        <v>732.68</v>
      </c>
    </row>
    <row r="171" spans="1:4" s="16" customFormat="1" ht="21" customHeight="1">
      <c r="A171" s="177" t="s">
        <v>547</v>
      </c>
      <c r="B171" s="177" t="s">
        <v>679</v>
      </c>
      <c r="C171" s="178"/>
      <c r="D171" s="179"/>
    </row>
    <row r="172" spans="1:4" ht="21" customHeight="1">
      <c r="A172" s="168" t="s">
        <v>548</v>
      </c>
      <c r="B172" s="169" t="s">
        <v>681</v>
      </c>
      <c r="C172" s="65" t="s">
        <v>27</v>
      </c>
      <c r="D172" s="66">
        <v>638</v>
      </c>
    </row>
    <row r="173" spans="1:4" s="16" customFormat="1" ht="21" customHeight="1">
      <c r="A173" s="177" t="s">
        <v>682</v>
      </c>
      <c r="B173" s="177" t="s">
        <v>467</v>
      </c>
      <c r="C173" s="178"/>
      <c r="D173" s="179"/>
    </row>
    <row r="174" spans="1:4" ht="21" customHeight="1">
      <c r="A174" s="168" t="s">
        <v>683</v>
      </c>
      <c r="B174" s="169" t="s">
        <v>579</v>
      </c>
      <c r="C174" s="65" t="s">
        <v>27</v>
      </c>
      <c r="D174" s="66">
        <v>257.60000000000002</v>
      </c>
    </row>
    <row r="175" spans="1:4" ht="21" customHeight="1">
      <c r="A175" s="67" t="s">
        <v>913</v>
      </c>
      <c r="B175" s="64" t="s">
        <v>6</v>
      </c>
      <c r="C175" s="65" t="s">
        <v>914</v>
      </c>
      <c r="D175" s="66"/>
    </row>
    <row r="176" spans="1:4" ht="21" customHeight="1">
      <c r="A176" s="67"/>
      <c r="B176" s="64" t="s">
        <v>947</v>
      </c>
      <c r="C176" s="65" t="s">
        <v>948</v>
      </c>
      <c r="D176" s="66"/>
    </row>
    <row r="177" spans="1:4" ht="33" customHeight="1">
      <c r="A177" s="168" t="s">
        <v>684</v>
      </c>
      <c r="B177" s="169" t="s">
        <v>581</v>
      </c>
      <c r="C177" s="65" t="s">
        <v>27</v>
      </c>
      <c r="D177" s="66">
        <v>257.60000000000002</v>
      </c>
    </row>
    <row r="178" spans="1:4" ht="21" customHeight="1">
      <c r="A178" s="168" t="s">
        <v>685</v>
      </c>
      <c r="B178" s="169" t="s">
        <v>583</v>
      </c>
      <c r="C178" s="65" t="s">
        <v>27</v>
      </c>
      <c r="D178" s="66">
        <v>257.60000000000002</v>
      </c>
    </row>
    <row r="179" spans="1:4" ht="21" customHeight="1">
      <c r="A179" s="168" t="s">
        <v>686</v>
      </c>
      <c r="B179" s="169" t="s">
        <v>688</v>
      </c>
      <c r="C179" s="65" t="s">
        <v>27</v>
      </c>
      <c r="D179" s="66">
        <v>54.8</v>
      </c>
    </row>
    <row r="180" spans="1:4" s="16" customFormat="1" ht="21" customHeight="1">
      <c r="A180" s="177" t="s">
        <v>689</v>
      </c>
      <c r="B180" s="177" t="s">
        <v>690</v>
      </c>
      <c r="C180" s="178"/>
      <c r="D180" s="179"/>
    </row>
    <row r="181" spans="1:4" ht="33" customHeight="1">
      <c r="A181" s="168" t="s">
        <v>691</v>
      </c>
      <c r="B181" s="169" t="s">
        <v>584</v>
      </c>
      <c r="C181" s="65" t="s">
        <v>27</v>
      </c>
      <c r="D181" s="66">
        <v>170.5</v>
      </c>
    </row>
    <row r="182" spans="1:4" ht="21" customHeight="1">
      <c r="A182" s="67" t="s">
        <v>913</v>
      </c>
      <c r="B182" s="64" t="s">
        <v>6</v>
      </c>
      <c r="C182" s="65" t="s">
        <v>914</v>
      </c>
      <c r="D182" s="66"/>
    </row>
    <row r="183" spans="1:4" ht="21" customHeight="1">
      <c r="A183" s="67"/>
      <c r="B183" s="64" t="s">
        <v>949</v>
      </c>
      <c r="C183" s="65" t="s">
        <v>950</v>
      </c>
      <c r="D183" s="66"/>
    </row>
    <row r="184" spans="1:4" s="16" customFormat="1" ht="21" customHeight="1">
      <c r="A184" s="177" t="s">
        <v>301</v>
      </c>
      <c r="B184" s="177" t="s">
        <v>442</v>
      </c>
      <c r="C184" s="178"/>
      <c r="D184" s="179"/>
    </row>
    <row r="185" spans="1:4" ht="21" customHeight="1">
      <c r="A185" s="168" t="s">
        <v>302</v>
      </c>
      <c r="B185" s="169" t="s">
        <v>585</v>
      </c>
      <c r="C185" s="65" t="s">
        <v>33</v>
      </c>
      <c r="D185" s="66">
        <v>45</v>
      </c>
    </row>
    <row r="186" spans="1:4" ht="21" customHeight="1">
      <c r="A186" s="168" t="s">
        <v>303</v>
      </c>
      <c r="B186" s="169" t="s">
        <v>586</v>
      </c>
      <c r="C186" s="65" t="s">
        <v>33</v>
      </c>
      <c r="D186" s="66">
        <v>8</v>
      </c>
    </row>
    <row r="187" spans="1:4" ht="21" customHeight="1">
      <c r="A187" s="168" t="s">
        <v>304</v>
      </c>
      <c r="B187" s="169" t="s">
        <v>588</v>
      </c>
      <c r="C187" s="65" t="s">
        <v>33</v>
      </c>
      <c r="D187" s="66">
        <v>8</v>
      </c>
    </row>
    <row r="188" spans="1:4" s="16" customFormat="1" ht="21" customHeight="1">
      <c r="A188" s="177" t="s">
        <v>305</v>
      </c>
      <c r="B188" s="177" t="s">
        <v>278</v>
      </c>
      <c r="C188" s="178"/>
      <c r="D188" s="179"/>
    </row>
    <row r="189" spans="1:4" ht="21" customHeight="1">
      <c r="A189" s="168" t="s">
        <v>306</v>
      </c>
      <c r="B189" s="169" t="s">
        <v>590</v>
      </c>
      <c r="C189" s="65" t="s">
        <v>27</v>
      </c>
      <c r="D189" s="66">
        <v>1118.48</v>
      </c>
    </row>
    <row r="190" spans="1:4" ht="33" customHeight="1">
      <c r="D190" s="15"/>
    </row>
    <row r="191" spans="1:4" ht="18" customHeight="1">
      <c r="B191" s="107" t="str">
        <f>ORCAMENTO!B17</f>
        <v>ANANINDEUA(PA), 17 DE ABRIL DE 2025</v>
      </c>
      <c r="D191" s="15"/>
    </row>
    <row r="192" spans="1:4" ht="78" customHeight="1">
      <c r="B192" s="108"/>
      <c r="D192" s="15"/>
    </row>
    <row r="193" spans="2:2" ht="18">
      <c r="B193" s="107" t="str">
        <f>ORCAMENTO!B21</f>
        <v>RIOL - Serviços de Construções LTDA.</v>
      </c>
    </row>
    <row r="194" spans="2:2" ht="18">
      <c r="B194" s="107" t="str">
        <f>ORCAMENTO!B22</f>
        <v>CNPJ: 09.335.585/0001-75</v>
      </c>
    </row>
  </sheetData>
  <mergeCells count="3">
    <mergeCell ref="A1:D1"/>
    <mergeCell ref="A3:B3"/>
    <mergeCell ref="A4:D4"/>
  </mergeCells>
  <printOptions horizontalCentered="1"/>
  <pageMargins left="0.39370078740157483" right="0.39370078740157483" top="0.39370078740157483" bottom="0.78740157480314965" header="0.39370078740157483" footer="0.39370078740157483"/>
  <pageSetup paperSize="9" scale="64" firstPageNumber="0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50"/>
  <sheetViews>
    <sheetView zoomScaleNormal="100" workbookViewId="0">
      <selection activeCell="B10" sqref="B10"/>
    </sheetView>
  </sheetViews>
  <sheetFormatPr defaultColWidth="9" defaultRowHeight="14.4"/>
  <cols>
    <col min="1" max="1" width="8.59765625" style="15" customWidth="1"/>
    <col min="2" max="2" width="35.59765625" style="15" customWidth="1"/>
    <col min="3" max="6" width="8.59765625" style="15" customWidth="1"/>
    <col min="7" max="16384" width="9" style="15"/>
  </cols>
  <sheetData>
    <row r="1" spans="1:8" ht="90.75" customHeight="1">
      <c r="A1" s="199"/>
      <c r="B1" s="199"/>
      <c r="C1" s="199"/>
      <c r="D1" s="199"/>
      <c r="E1" s="199"/>
      <c r="F1" s="199"/>
    </row>
    <row r="2" spans="1:8" ht="16.2" thickBot="1">
      <c r="A2" s="247" t="s">
        <v>170</v>
      </c>
      <c r="B2" s="247"/>
      <c r="C2" s="247"/>
      <c r="D2" s="247"/>
      <c r="E2" s="247"/>
      <c r="F2" s="247"/>
    </row>
    <row r="3" spans="1:8" ht="15" thickBot="1">
      <c r="A3" s="248"/>
      <c r="B3" s="248"/>
      <c r="C3" s="249"/>
      <c r="D3" s="249"/>
      <c r="E3" s="249"/>
      <c r="F3" s="249"/>
    </row>
    <row r="4" spans="1:8">
      <c r="A4" s="110" t="s">
        <v>343</v>
      </c>
      <c r="B4" s="170" t="s">
        <v>952</v>
      </c>
      <c r="C4" s="250" t="s">
        <v>118</v>
      </c>
      <c r="D4" s="251"/>
      <c r="E4" s="251"/>
      <c r="F4" s="251"/>
    </row>
    <row r="5" spans="1:8" ht="15" thickBot="1">
      <c r="A5" s="111" t="s">
        <v>171</v>
      </c>
      <c r="B5" s="112" t="s">
        <v>145</v>
      </c>
      <c r="C5" s="252" t="s">
        <v>172</v>
      </c>
      <c r="D5" s="253"/>
      <c r="E5" s="254" t="s">
        <v>173</v>
      </c>
      <c r="F5" s="254"/>
    </row>
    <row r="6" spans="1:8" ht="12" customHeight="1" thickBot="1">
      <c r="A6" s="113"/>
      <c r="C6" s="68"/>
      <c r="D6" s="68"/>
      <c r="E6" s="68"/>
      <c r="F6" s="114"/>
    </row>
    <row r="7" spans="1:8">
      <c r="A7" s="244" t="s">
        <v>174</v>
      </c>
      <c r="B7" s="244"/>
      <c r="C7" s="244"/>
      <c r="D7" s="244"/>
      <c r="E7" s="244"/>
      <c r="F7" s="244"/>
    </row>
    <row r="8" spans="1:8">
      <c r="A8" s="109" t="s">
        <v>175</v>
      </c>
      <c r="B8" s="15" t="s">
        <v>176</v>
      </c>
      <c r="C8" s="245">
        <v>0</v>
      </c>
      <c r="D8" s="245"/>
      <c r="E8" s="245">
        <f t="shared" ref="E8:E16" si="0">C8</f>
        <v>0</v>
      </c>
      <c r="F8" s="245"/>
    </row>
    <row r="9" spans="1:8">
      <c r="A9" s="68" t="s">
        <v>177</v>
      </c>
      <c r="B9" s="15" t="s">
        <v>178</v>
      </c>
      <c r="C9" s="246">
        <v>1.4999999999999999E-2</v>
      </c>
      <c r="D9" s="246"/>
      <c r="E9" s="246">
        <f t="shared" si="0"/>
        <v>1.4999999999999999E-2</v>
      </c>
      <c r="F9" s="246"/>
    </row>
    <row r="10" spans="1:8">
      <c r="A10" s="68" t="s">
        <v>179</v>
      </c>
      <c r="B10" s="15" t="s">
        <v>180</v>
      </c>
      <c r="C10" s="246">
        <v>0.01</v>
      </c>
      <c r="D10" s="246"/>
      <c r="E10" s="246">
        <f t="shared" si="0"/>
        <v>0.01</v>
      </c>
      <c r="F10" s="246"/>
    </row>
    <row r="11" spans="1:8">
      <c r="A11" s="68" t="s">
        <v>181</v>
      </c>
      <c r="B11" s="15" t="s">
        <v>182</v>
      </c>
      <c r="C11" s="246">
        <v>2E-3</v>
      </c>
      <c r="D11" s="246"/>
      <c r="E11" s="246">
        <f t="shared" si="0"/>
        <v>2E-3</v>
      </c>
      <c r="F11" s="246"/>
      <c r="H11" s="115"/>
    </row>
    <row r="12" spans="1:8">
      <c r="A12" s="68" t="s">
        <v>183</v>
      </c>
      <c r="B12" s="15" t="s">
        <v>184</v>
      </c>
      <c r="C12" s="246">
        <v>6.0000000000000001E-3</v>
      </c>
      <c r="D12" s="246"/>
      <c r="E12" s="246">
        <f t="shared" si="0"/>
        <v>6.0000000000000001E-3</v>
      </c>
      <c r="F12" s="246"/>
    </row>
    <row r="13" spans="1:8">
      <c r="A13" s="68" t="s">
        <v>185</v>
      </c>
      <c r="B13" s="15" t="s">
        <v>186</v>
      </c>
      <c r="C13" s="246">
        <v>2.5000000000000001E-2</v>
      </c>
      <c r="D13" s="246"/>
      <c r="E13" s="246">
        <f t="shared" si="0"/>
        <v>2.5000000000000001E-2</v>
      </c>
      <c r="F13" s="246"/>
    </row>
    <row r="14" spans="1:8">
      <c r="A14" s="68" t="s">
        <v>187</v>
      </c>
      <c r="B14" s="15" t="s">
        <v>188</v>
      </c>
      <c r="C14" s="246">
        <v>0.03</v>
      </c>
      <c r="D14" s="246"/>
      <c r="E14" s="246">
        <f t="shared" si="0"/>
        <v>0.03</v>
      </c>
      <c r="F14" s="246"/>
    </row>
    <row r="15" spans="1:8">
      <c r="A15" s="68" t="s">
        <v>189</v>
      </c>
      <c r="B15" s="15" t="s">
        <v>190</v>
      </c>
      <c r="C15" s="246">
        <v>0.08</v>
      </c>
      <c r="D15" s="246"/>
      <c r="E15" s="246">
        <f t="shared" si="0"/>
        <v>0.08</v>
      </c>
      <c r="F15" s="246"/>
    </row>
    <row r="16" spans="1:8">
      <c r="A16" s="68" t="s">
        <v>191</v>
      </c>
      <c r="B16" s="15" t="s">
        <v>192</v>
      </c>
      <c r="C16" s="246">
        <v>0</v>
      </c>
      <c r="D16" s="246"/>
      <c r="E16" s="246">
        <f t="shared" si="0"/>
        <v>0</v>
      </c>
      <c r="F16" s="246"/>
    </row>
    <row r="17" spans="1:6">
      <c r="A17" s="116" t="s">
        <v>193</v>
      </c>
      <c r="B17" s="117" t="s">
        <v>164</v>
      </c>
      <c r="C17" s="242">
        <f>SUM(C8:D16)</f>
        <v>0.16799999999999998</v>
      </c>
      <c r="D17" s="242"/>
      <c r="E17" s="243">
        <f>SUM(E8:F16)</f>
        <v>0.16799999999999998</v>
      </c>
      <c r="F17" s="243"/>
    </row>
    <row r="18" spans="1:6" ht="12" customHeight="1"/>
    <row r="19" spans="1:6">
      <c r="A19" s="244" t="s">
        <v>194</v>
      </c>
      <c r="B19" s="244"/>
      <c r="C19" s="244"/>
      <c r="D19" s="244"/>
      <c r="E19" s="244"/>
      <c r="F19" s="244"/>
    </row>
    <row r="20" spans="1:6">
      <c r="A20" s="109" t="s">
        <v>195</v>
      </c>
      <c r="B20" s="15" t="s">
        <v>196</v>
      </c>
      <c r="C20" s="245">
        <v>0.18110000000000001</v>
      </c>
      <c r="D20" s="245"/>
      <c r="E20" s="245" t="s">
        <v>197</v>
      </c>
      <c r="F20" s="245"/>
    </row>
    <row r="21" spans="1:6">
      <c r="A21" s="68" t="s">
        <v>198</v>
      </c>
      <c r="B21" s="15" t="s">
        <v>199</v>
      </c>
      <c r="C21" s="246">
        <v>4.1500000000000002E-2</v>
      </c>
      <c r="D21" s="246"/>
      <c r="E21" s="246" t="s">
        <v>200</v>
      </c>
      <c r="F21" s="246"/>
    </row>
    <row r="22" spans="1:6">
      <c r="A22" s="68" t="s">
        <v>201</v>
      </c>
      <c r="B22" s="15" t="s">
        <v>202</v>
      </c>
      <c r="C22" s="246">
        <v>8.8999999999999999E-3</v>
      </c>
      <c r="D22" s="246"/>
      <c r="E22" s="246">
        <v>6.7000000000000002E-3</v>
      </c>
      <c r="F22" s="246"/>
    </row>
    <row r="23" spans="1:6">
      <c r="A23" s="68" t="s">
        <v>203</v>
      </c>
      <c r="B23" s="15" t="s">
        <v>204</v>
      </c>
      <c r="C23" s="246">
        <v>0.10979999999999999</v>
      </c>
      <c r="D23" s="246"/>
      <c r="E23" s="246">
        <v>8.3299999999999999E-2</v>
      </c>
      <c r="F23" s="246"/>
    </row>
    <row r="24" spans="1:6">
      <c r="A24" s="68" t="s">
        <v>205</v>
      </c>
      <c r="B24" s="15" t="s">
        <v>206</v>
      </c>
      <c r="C24" s="246">
        <v>6.9999999999999999E-4</v>
      </c>
      <c r="D24" s="246"/>
      <c r="E24" s="246">
        <v>5.9999999999999995E-4</v>
      </c>
      <c r="F24" s="246"/>
    </row>
    <row r="25" spans="1:6">
      <c r="A25" s="68" t="s">
        <v>207</v>
      </c>
      <c r="B25" s="15" t="s">
        <v>208</v>
      </c>
      <c r="C25" s="246">
        <v>7.3000000000000001E-3</v>
      </c>
      <c r="D25" s="246"/>
      <c r="E25" s="246">
        <v>5.5999999999999999E-3</v>
      </c>
      <c r="F25" s="246"/>
    </row>
    <row r="26" spans="1:6">
      <c r="A26" s="68" t="s">
        <v>209</v>
      </c>
      <c r="B26" s="15" t="s">
        <v>210</v>
      </c>
      <c r="C26" s="246">
        <v>2.6800000000000001E-2</v>
      </c>
      <c r="D26" s="246"/>
      <c r="E26" s="246" t="s">
        <v>197</v>
      </c>
      <c r="F26" s="246"/>
    </row>
    <row r="27" spans="1:6">
      <c r="A27" s="68" t="s">
        <v>211</v>
      </c>
      <c r="B27" s="15" t="s">
        <v>212</v>
      </c>
      <c r="C27" s="246">
        <v>1.1000000000000001E-3</v>
      </c>
      <c r="D27" s="246"/>
      <c r="E27" s="246">
        <v>8.0000000000000004E-4</v>
      </c>
      <c r="F27" s="246"/>
    </row>
    <row r="28" spans="1:6">
      <c r="A28" s="68" t="s">
        <v>213</v>
      </c>
      <c r="B28" s="15" t="s">
        <v>214</v>
      </c>
      <c r="C28" s="246">
        <v>9.2700000000000005E-2</v>
      </c>
      <c r="D28" s="246"/>
      <c r="E28" s="246">
        <v>7.0300000000000001E-2</v>
      </c>
      <c r="F28" s="246"/>
    </row>
    <row r="29" spans="1:6">
      <c r="A29" s="68" t="s">
        <v>215</v>
      </c>
      <c r="B29" s="15" t="s">
        <v>216</v>
      </c>
      <c r="C29" s="246">
        <v>2.9999999999999997E-4</v>
      </c>
      <c r="D29" s="246"/>
      <c r="E29" s="246">
        <f>C29</f>
        <v>2.9999999999999997E-4</v>
      </c>
      <c r="F29" s="246"/>
    </row>
    <row r="30" spans="1:6">
      <c r="A30" s="116" t="s">
        <v>217</v>
      </c>
      <c r="B30" s="117" t="s">
        <v>164</v>
      </c>
      <c r="C30" s="242">
        <f>SUM(C20:D29)</f>
        <v>0.47019999999999995</v>
      </c>
      <c r="D30" s="242"/>
      <c r="E30" s="243">
        <f>SUM(E20:F29)</f>
        <v>0.1676</v>
      </c>
      <c r="F30" s="243"/>
    </row>
    <row r="31" spans="1:6" ht="12" customHeight="1"/>
    <row r="32" spans="1:6">
      <c r="A32" s="244" t="s">
        <v>218</v>
      </c>
      <c r="B32" s="244"/>
      <c r="C32" s="244"/>
      <c r="D32" s="244"/>
      <c r="E32" s="244"/>
      <c r="F32" s="244"/>
    </row>
    <row r="33" spans="1:6">
      <c r="A33" s="109" t="s">
        <v>219</v>
      </c>
      <c r="B33" s="15" t="s">
        <v>220</v>
      </c>
      <c r="C33" s="245">
        <v>5.6899999999999999E-2</v>
      </c>
      <c r="D33" s="245"/>
      <c r="E33" s="245">
        <v>4.3200000000000002E-2</v>
      </c>
      <c r="F33" s="245"/>
    </row>
    <row r="34" spans="1:6">
      <c r="A34" s="68" t="s">
        <v>221</v>
      </c>
      <c r="B34" s="15" t="s">
        <v>222</v>
      </c>
      <c r="C34" s="246">
        <v>1.2999999999999999E-3</v>
      </c>
      <c r="D34" s="246"/>
      <c r="E34" s="246">
        <v>1E-3</v>
      </c>
      <c r="F34" s="246"/>
    </row>
    <row r="35" spans="1:6">
      <c r="A35" s="68" t="s">
        <v>223</v>
      </c>
      <c r="B35" s="15" t="s">
        <v>224</v>
      </c>
      <c r="C35" s="246">
        <v>4.4699999999999997E-2</v>
      </c>
      <c r="D35" s="246"/>
      <c r="E35" s="246">
        <v>3.39E-2</v>
      </c>
      <c r="F35" s="246"/>
    </row>
    <row r="36" spans="1:6">
      <c r="A36" s="68" t="s">
        <v>225</v>
      </c>
      <c r="B36" s="15" t="s">
        <v>226</v>
      </c>
      <c r="C36" s="246">
        <v>3.9300000000000002E-2</v>
      </c>
      <c r="D36" s="246"/>
      <c r="E36" s="246">
        <v>2.98E-2</v>
      </c>
      <c r="F36" s="246"/>
    </row>
    <row r="37" spans="1:6">
      <c r="A37" s="68" t="s">
        <v>227</v>
      </c>
      <c r="B37" s="15" t="s">
        <v>228</v>
      </c>
      <c r="C37" s="246">
        <v>4.7999999999999996E-3</v>
      </c>
      <c r="D37" s="246"/>
      <c r="E37" s="246">
        <v>3.5999999999999999E-3</v>
      </c>
      <c r="F37" s="246"/>
    </row>
    <row r="38" spans="1:6">
      <c r="A38" s="116" t="s">
        <v>229</v>
      </c>
      <c r="B38" s="117" t="s">
        <v>164</v>
      </c>
      <c r="C38" s="242">
        <f>SUM(C33:D37)</f>
        <v>0.14699999999999999</v>
      </c>
      <c r="D38" s="242"/>
      <c r="E38" s="243">
        <f>SUM(E33:F37)</f>
        <v>0.1115</v>
      </c>
      <c r="F38" s="243"/>
    </row>
    <row r="39" spans="1:6" ht="12" customHeight="1"/>
    <row r="40" spans="1:6">
      <c r="A40" s="244" t="s">
        <v>230</v>
      </c>
      <c r="B40" s="244"/>
      <c r="C40" s="244"/>
      <c r="D40" s="244"/>
      <c r="E40" s="244"/>
      <c r="F40" s="244"/>
    </row>
    <row r="41" spans="1:6">
      <c r="A41" s="109" t="s">
        <v>231</v>
      </c>
      <c r="B41" s="15" t="s">
        <v>232</v>
      </c>
      <c r="C41" s="245">
        <v>7.9000000000000001E-2</v>
      </c>
      <c r="D41" s="245"/>
      <c r="E41" s="245">
        <v>2.8199999999999999E-2</v>
      </c>
      <c r="F41" s="245"/>
    </row>
    <row r="42" spans="1:6" ht="44.25" customHeight="1">
      <c r="A42" s="68" t="s">
        <v>233</v>
      </c>
      <c r="B42" s="118" t="s">
        <v>234</v>
      </c>
      <c r="C42" s="246">
        <v>4.7999999999999996E-3</v>
      </c>
      <c r="D42" s="246"/>
      <c r="E42" s="246">
        <v>3.5999999999999999E-3</v>
      </c>
      <c r="F42" s="246"/>
    </row>
    <row r="43" spans="1:6">
      <c r="A43" s="116" t="s">
        <v>235</v>
      </c>
      <c r="B43" s="117" t="s">
        <v>164</v>
      </c>
      <c r="C43" s="242">
        <f>SUM(C41:D42)</f>
        <v>8.3799999999999999E-2</v>
      </c>
      <c r="D43" s="242"/>
      <c r="E43" s="243">
        <f>SUM(E41:F42)</f>
        <v>3.1800000000000002E-2</v>
      </c>
      <c r="F43" s="243"/>
    </row>
    <row r="44" spans="1:6" ht="15" customHeight="1"/>
    <row r="45" spans="1:6">
      <c r="A45" s="116"/>
      <c r="B45" s="117" t="s">
        <v>236</v>
      </c>
      <c r="C45" s="242">
        <f>C30+C38+C43+C17</f>
        <v>0.86899999999999999</v>
      </c>
      <c r="D45" s="242"/>
      <c r="E45" s="243">
        <f>E30+E38+E43+E17</f>
        <v>0.47889999999999999</v>
      </c>
      <c r="F45" s="243"/>
    </row>
    <row r="46" spans="1:6" ht="7.5" customHeight="1"/>
    <row r="47" spans="1:6" ht="15.6">
      <c r="B47" s="85" t="str">
        <f>ORCAMENTO!B17</f>
        <v>ANANINDEUA(PA), 17 DE ABRIL DE 2025</v>
      </c>
      <c r="C47" s="119"/>
      <c r="D47" s="119"/>
    </row>
    <row r="48" spans="1:6" ht="51" customHeight="1">
      <c r="B48" s="16"/>
      <c r="C48" s="119"/>
      <c r="D48" s="119"/>
    </row>
    <row r="49" spans="2:2" ht="15.6">
      <c r="B49" s="85" t="str">
        <f>ORCAMENTO!B21</f>
        <v>RIOL - Serviços de Construções LTDA.</v>
      </c>
    </row>
    <row r="50" spans="2:2" ht="15.6">
      <c r="B50" s="85" t="str">
        <f>ORCAMENTO!B22</f>
        <v>CNPJ: 09.335.585/0001-75</v>
      </c>
    </row>
  </sheetData>
  <mergeCells count="72">
    <mergeCell ref="A1:F1"/>
    <mergeCell ref="A2:F2"/>
    <mergeCell ref="A3:F3"/>
    <mergeCell ref="C4:F4"/>
    <mergeCell ref="C5:D5"/>
    <mergeCell ref="E5:F5"/>
    <mergeCell ref="A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A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A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  <mergeCell ref="C43:D43"/>
    <mergeCell ref="E43:F43"/>
    <mergeCell ref="C45:D45"/>
    <mergeCell ref="E45:F45"/>
    <mergeCell ref="A40:F40"/>
    <mergeCell ref="C41:D41"/>
    <mergeCell ref="E41:F41"/>
    <mergeCell ref="C42:D42"/>
    <mergeCell ref="E42:F42"/>
  </mergeCells>
  <printOptions horizontalCentered="1"/>
  <pageMargins left="0.39370078740157483" right="0.39370078740157483" top="0.39370078740157483" bottom="0.59055118110236227" header="0.51181102362204722" footer="0.51181102362204722"/>
  <pageSetup paperSize="9" scale="89" firstPageNumber="0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58"/>
  <sheetViews>
    <sheetView topLeftCell="A19" zoomScaleNormal="100" workbookViewId="0">
      <selection activeCell="B8" sqref="B8"/>
    </sheetView>
  </sheetViews>
  <sheetFormatPr defaultColWidth="9" defaultRowHeight="14.4"/>
  <cols>
    <col min="1" max="4" width="9" style="15"/>
    <col min="5" max="11" width="8.59765625" style="15" customWidth="1"/>
    <col min="12" max="12" width="6.69921875" style="15" customWidth="1"/>
    <col min="13" max="13" width="46.09765625" style="15" customWidth="1"/>
    <col min="14" max="16384" width="9" style="15"/>
  </cols>
  <sheetData>
    <row r="1" spans="1:23" ht="30" customHeight="1">
      <c r="A1" s="287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119"/>
      <c r="N1" s="119"/>
      <c r="O1" s="119"/>
      <c r="P1" s="119"/>
      <c r="Q1" s="119"/>
      <c r="R1" s="119"/>
      <c r="S1" s="283" t="s">
        <v>116</v>
      </c>
      <c r="T1" s="283"/>
      <c r="U1" s="283" t="s">
        <v>117</v>
      </c>
      <c r="V1" s="284">
        <v>1</v>
      </c>
      <c r="W1" s="119"/>
    </row>
    <row r="2" spans="1:23" ht="87" customHeight="1">
      <c r="A2" s="287"/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119"/>
      <c r="N2" s="119"/>
      <c r="O2" s="119"/>
      <c r="P2" s="119"/>
      <c r="Q2" s="119"/>
      <c r="R2" s="119"/>
      <c r="S2" s="121">
        <v>1</v>
      </c>
      <c r="T2" s="122" t="s">
        <v>118</v>
      </c>
      <c r="U2" s="283"/>
      <c r="V2" s="284"/>
      <c r="W2" s="119"/>
    </row>
    <row r="3" spans="1:23" ht="15.6">
      <c r="A3" s="123" t="s">
        <v>119</v>
      </c>
      <c r="B3" s="288" t="str">
        <f>ORCAMENTO!A3</f>
        <v>MANUTEÇÃO PREVENTIVA E CORRETIVA DA  CRECHE MUNICIPAL "ODINAMAR OLIVEIRA GOMES"</v>
      </c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119"/>
      <c r="N3" s="119"/>
      <c r="O3" s="119"/>
      <c r="P3" s="119"/>
      <c r="Q3" s="119"/>
      <c r="R3" s="119"/>
      <c r="S3" s="121">
        <v>2</v>
      </c>
      <c r="T3" s="122" t="s">
        <v>120</v>
      </c>
      <c r="U3" s="283"/>
      <c r="V3" s="284"/>
      <c r="W3" s="119"/>
    </row>
    <row r="4" spans="1:23" ht="15.6">
      <c r="M4" s="119"/>
      <c r="N4" s="119"/>
      <c r="O4" s="119"/>
      <c r="P4" s="119"/>
      <c r="Q4" s="119"/>
      <c r="R4" s="119"/>
      <c r="S4" s="124"/>
      <c r="T4" s="125"/>
      <c r="U4" s="119"/>
      <c r="V4" s="119"/>
      <c r="W4" s="119"/>
    </row>
    <row r="5" spans="1:23" ht="15.6">
      <c r="A5" s="126"/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19"/>
      <c r="N5" s="282" t="s">
        <v>121</v>
      </c>
      <c r="O5" s="282"/>
      <c r="P5" s="282"/>
      <c r="Q5" s="282"/>
      <c r="R5" s="119"/>
      <c r="S5" s="283" t="s">
        <v>122</v>
      </c>
      <c r="T5" s="283"/>
      <c r="U5" s="283" t="s">
        <v>117</v>
      </c>
      <c r="V5" s="284">
        <v>1</v>
      </c>
      <c r="W5" s="119"/>
    </row>
    <row r="6" spans="1:23" ht="15.6">
      <c r="A6" s="126"/>
      <c r="B6" s="277" t="s">
        <v>123</v>
      </c>
      <c r="C6" s="277"/>
      <c r="D6" s="277"/>
      <c r="E6" s="277"/>
      <c r="F6" s="277"/>
      <c r="G6" s="277"/>
      <c r="H6" s="277"/>
      <c r="I6" s="277"/>
      <c r="J6" s="277"/>
      <c r="K6" s="277"/>
      <c r="L6" s="127"/>
      <c r="M6" s="285" t="s">
        <v>122</v>
      </c>
      <c r="N6" s="282" t="s">
        <v>124</v>
      </c>
      <c r="O6" s="282"/>
      <c r="P6" s="282"/>
      <c r="Q6" s="128">
        <f>V1</f>
        <v>1</v>
      </c>
      <c r="R6" s="119"/>
      <c r="S6" s="121">
        <v>1</v>
      </c>
      <c r="T6" s="122" t="s">
        <v>125</v>
      </c>
      <c r="U6" s="283"/>
      <c r="V6" s="284">
        <v>1</v>
      </c>
      <c r="W6" s="119"/>
    </row>
    <row r="7" spans="1:23" ht="15.75" customHeight="1">
      <c r="A7" s="286" t="s">
        <v>126</v>
      </c>
      <c r="B7" s="286"/>
      <c r="C7" s="286"/>
      <c r="D7" s="286"/>
      <c r="E7" s="286"/>
      <c r="F7" s="286"/>
      <c r="G7" s="286"/>
      <c r="H7" s="286"/>
      <c r="I7" s="286"/>
      <c r="J7" s="286"/>
      <c r="K7" s="286"/>
      <c r="L7" s="127"/>
      <c r="M7" s="285"/>
      <c r="N7" s="121"/>
      <c r="O7" s="120" t="s">
        <v>127</v>
      </c>
      <c r="P7" s="120" t="s">
        <v>128</v>
      </c>
      <c r="Q7" s="120" t="s">
        <v>129</v>
      </c>
      <c r="R7" s="119"/>
      <c r="S7" s="121">
        <v>2</v>
      </c>
      <c r="T7" s="122" t="s">
        <v>130</v>
      </c>
      <c r="U7" s="283"/>
      <c r="V7" s="284"/>
      <c r="W7" s="119"/>
    </row>
    <row r="8" spans="1:23" ht="15.6">
      <c r="B8" s="129" t="str">
        <f>IF(AND(V1&lt;&gt;1,V1&lt;&gt;2),"SELECT OPT",IF(V1=1,"COM DESONERAÇÃO",IF(V1=2,"SEM DESONERAÇÃO","SELECT OPT")))</f>
        <v>COM DESONERAÇÃO</v>
      </c>
      <c r="C8" s="129"/>
      <c r="D8" s="126" t="s">
        <v>131</v>
      </c>
      <c r="H8" s="126"/>
      <c r="I8" s="119"/>
      <c r="J8" s="119"/>
      <c r="K8" s="119"/>
      <c r="L8" s="126"/>
      <c r="M8" s="285"/>
      <c r="N8" s="121">
        <v>1</v>
      </c>
      <c r="O8" s="130">
        <f>IF($V$1=1,((((((20.34/100)+1)*(1-(5.15/100)))/(1-(9.65/100)))-1)*100),IF($V$1=2,20.34,"SELECT OPT"))</f>
        <v>26.333691200885468</v>
      </c>
      <c r="P8" s="130">
        <f>IF($V$1=1,((((((22.12/100)+1)*(1-(6.65/100)))/(1-(11.15/100)))-1)*100),IF($V$1=2,22.12,"SELECT OPT"))</f>
        <v>28.30503095104109</v>
      </c>
      <c r="Q8" s="130">
        <f>IF($V$1=1,((((((25/100)+1)*(1-(8.65/100)))/(1-(13.15/100)))-1)*100),IF($V$1=2,25,"SELECT OPT"))</f>
        <v>31.476683937823815</v>
      </c>
      <c r="R8" s="119"/>
      <c r="S8" s="121">
        <v>3</v>
      </c>
      <c r="T8" s="122" t="s">
        <v>132</v>
      </c>
      <c r="U8" s="283"/>
      <c r="V8" s="284"/>
      <c r="W8" s="119"/>
    </row>
    <row r="9" spans="1:23" ht="15.6">
      <c r="A9" s="277" t="s">
        <v>133</v>
      </c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126"/>
      <c r="M9" s="285"/>
      <c r="N9" s="121">
        <v>2</v>
      </c>
      <c r="O9" s="130">
        <f>IF($V$1=1,((((((19.6/100)+1)*(1-(5.15/100)))/(1-(9.65/100)))-1)*100),IF($V$1=2,19.6,"SELECT OPT"))</f>
        <v>25.556834532374118</v>
      </c>
      <c r="P9" s="130">
        <f>IF($V$1=1,((((((20.97/100)+1)*(1-(6.65/100)))/(1-(11.15/100)))-1)*100),IF($V$1=2,20.97,"SELECT OPT"))</f>
        <v>27.096786719189648</v>
      </c>
      <c r="Q9" s="130">
        <f>IF($V$1=1,((((((24.23/100)+1)*(1-(8.65/100)))/(1-(13.15/100)))-1)*100),IF($V$1=2,24.23,"SELECT OPT"))</f>
        <v>30.666787564766818</v>
      </c>
      <c r="R9" s="119"/>
      <c r="S9" s="121">
        <v>4</v>
      </c>
      <c r="T9" s="122" t="s">
        <v>134</v>
      </c>
      <c r="U9" s="283"/>
      <c r="V9" s="284"/>
      <c r="W9" s="119"/>
    </row>
    <row r="10" spans="1:23" ht="15.6">
      <c r="A10" s="126"/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285"/>
      <c r="N10" s="121">
        <v>3</v>
      </c>
      <c r="O10" s="130">
        <f>IF($V$1=1,((((((20.76/100)+1)*(1-(5.15/100)))/(1-(9.65/100)))-1)*100),IF($V$1=2,20.76,"SELECT OPT"))</f>
        <v>26.774609850581086</v>
      </c>
      <c r="P10" s="130">
        <f>IF($V$1=1,((((((24.18/100)+1)*(1-(6.65/100)))/(1-(11.15/100)))-1)*100),IF($V$1=2,24.18,"SELECT OPT"))</f>
        <v>30.469364096792372</v>
      </c>
      <c r="Q10" s="130">
        <f>IF($V$1=1,((((((26.44/100)+1)*(1-(8.65/100)))/(1-(13.15/100)))-1)*100),IF($V$1=2,26.44,"SELECT OPT"))</f>
        <v>32.991295336787552</v>
      </c>
      <c r="R10" s="119"/>
      <c r="S10" s="121">
        <v>5</v>
      </c>
      <c r="T10" s="122" t="s">
        <v>135</v>
      </c>
      <c r="U10" s="283"/>
      <c r="V10" s="284"/>
      <c r="W10" s="119"/>
    </row>
    <row r="11" spans="1:23" ht="15.6">
      <c r="A11" s="126"/>
      <c r="B11" s="277" t="s">
        <v>136</v>
      </c>
      <c r="C11" s="277"/>
      <c r="D11" s="277"/>
      <c r="E11" s="277"/>
      <c r="F11" s="277"/>
      <c r="G11" s="277"/>
      <c r="H11" s="277"/>
      <c r="I11" s="277"/>
      <c r="J11" s="277"/>
      <c r="K11" s="277"/>
      <c r="L11" s="126"/>
      <c r="M11" s="285"/>
      <c r="N11" s="121">
        <v>4</v>
      </c>
      <c r="O11" s="130">
        <f>IF($V$1=1,((((((24/100)+1)*(1-(5.15/100)))/(1-(9.65/100)))-1)*100),IF($V$1=2,24,"SELECT OPT"))</f>
        <v>30.175982291090197</v>
      </c>
      <c r="P11" s="130">
        <f>IF($V$1=1,((((((25.84/100)+1)*(1-(6.65/100)))/(1-(11.15/100)))-1)*100),IF($V$1=2,25.84,"SELECT OPT"))</f>
        <v>32.213438379290935</v>
      </c>
      <c r="Q11" s="130">
        <f>IF($V$1=1,((((((27.86/100)+1)*(1-(8.65/100)))/(1-(13.15/100)))-1)*100),IF($V$1=2,27.86,"SELECT OPT"))</f>
        <v>34.484870466321226</v>
      </c>
      <c r="R11" s="119"/>
      <c r="S11" s="121">
        <v>6</v>
      </c>
      <c r="T11" s="122" t="s">
        <v>137</v>
      </c>
      <c r="U11" s="283"/>
      <c r="V11" s="284"/>
      <c r="W11" s="119"/>
    </row>
    <row r="12" spans="1:23" ht="15.6">
      <c r="A12" s="277" t="s">
        <v>138</v>
      </c>
      <c r="B12" s="277"/>
      <c r="C12" s="277"/>
      <c r="D12" s="277"/>
      <c r="E12" s="277"/>
      <c r="F12" s="277"/>
      <c r="G12" s="277"/>
      <c r="H12" s="277"/>
      <c r="I12" s="277"/>
      <c r="J12" s="277"/>
      <c r="K12" s="277"/>
      <c r="L12" s="126"/>
      <c r="M12" s="285"/>
      <c r="N12" s="121">
        <v>5</v>
      </c>
      <c r="O12" s="130">
        <f>IF($V$1=1,((((((22.8/100)+1)*(1-(5.15/100)))/(1-(9.65/100)))-1)*100),IF($V$1=2,22.8,"SELECT OPT"))</f>
        <v>28.916214720531276</v>
      </c>
      <c r="P12" s="130">
        <f>IF($V$1=1,((((((27.48/100)+1)*(1-(6.65/100)))/(1-(11.15/100)))-1)*100),IF($V$1=2,27.48,"SELECT OPT"))</f>
        <v>33.936499718626891</v>
      </c>
      <c r="Q12" s="130">
        <f>IF($V$1=1,((((((30.95/100)+1)*(1-(8.65/100)))/(1-(13.15/100)))-1)*100),IF($V$1=2,30.95,"SELECT OPT"))</f>
        <v>37.734974093264228</v>
      </c>
      <c r="R12" s="119"/>
      <c r="S12" s="124"/>
      <c r="T12" s="125"/>
      <c r="U12" s="119"/>
      <c r="V12" s="119"/>
      <c r="W12" s="119"/>
    </row>
    <row r="13" spans="1:23" ht="15.6">
      <c r="A13" s="276" t="s">
        <v>139</v>
      </c>
      <c r="B13" s="276"/>
      <c r="C13" s="276"/>
      <c r="D13" s="276"/>
      <c r="E13" s="276"/>
      <c r="F13" s="276"/>
      <c r="G13" s="276"/>
      <c r="H13" s="276"/>
      <c r="I13" s="276"/>
      <c r="J13" s="276"/>
      <c r="K13" s="276"/>
      <c r="L13" s="119"/>
      <c r="M13" s="119"/>
      <c r="N13" s="121">
        <v>6</v>
      </c>
      <c r="O13" s="130">
        <f>IF($V$1=1,((((((11.1/100)+1)*(1-(3.65/100)))/(1-(8.15/100)))-1)*100),IF($V$1=2,11.1,"SELECT OPT"))</f>
        <v>16.543113772455076</v>
      </c>
      <c r="P13" s="130">
        <f>IF($V$1=1,((((((14.02/100)+1)*(1-(3.65/100)))/(1-(8.15/100)))-1)*100),IF($V$1=2,14.02,"SELECT OPT"))</f>
        <v>19.606173108328818</v>
      </c>
      <c r="Q13" s="130">
        <f>IF($V$1=1,((((((16.8/100)+1)*(1-(3.65/100)))/(1-(8.15/100)))-1)*100),IF($V$1=2,16.8,"SELECT OPT"))</f>
        <v>22.522373434948271</v>
      </c>
      <c r="R13" s="119"/>
      <c r="S13" s="124"/>
      <c r="T13" s="125"/>
      <c r="U13" s="119"/>
      <c r="V13" s="119"/>
      <c r="W13" s="119"/>
    </row>
    <row r="14" spans="1:23" ht="15.6">
      <c r="A14" s="119"/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31" t="s">
        <v>117</v>
      </c>
      <c r="O14" s="132">
        <f>VLOOKUP($V$5,$N$8:$Q$13,2,0)</f>
        <v>26.333691200885468</v>
      </c>
      <c r="P14" s="132">
        <f>VLOOKUP($V$5,$N$8:$Q$13,3,0)</f>
        <v>28.30503095104109</v>
      </c>
      <c r="Q14" s="132">
        <f>VLOOKUP($V$5,$N$8:$Q$13,4,0)</f>
        <v>31.476683937823815</v>
      </c>
      <c r="R14" s="119"/>
      <c r="S14" s="124"/>
      <c r="T14" s="125"/>
      <c r="U14" s="119"/>
      <c r="V14" s="119"/>
      <c r="W14" s="119"/>
    </row>
    <row r="15" spans="1:23" ht="15.6">
      <c r="A15" s="126"/>
      <c r="B15" s="277" t="s">
        <v>140</v>
      </c>
      <c r="C15" s="277"/>
      <c r="D15" s="277"/>
      <c r="E15" s="277"/>
      <c r="F15" s="277"/>
      <c r="G15" s="277"/>
      <c r="H15" s="277"/>
      <c r="I15" s="277"/>
      <c r="J15" s="277"/>
      <c r="K15" s="277"/>
      <c r="L15" s="126"/>
      <c r="M15" s="119"/>
      <c r="N15" s="119"/>
      <c r="O15" s="119"/>
      <c r="P15" s="119"/>
      <c r="Q15" s="119"/>
      <c r="R15" s="119"/>
      <c r="S15" s="124"/>
      <c r="T15" s="125"/>
      <c r="U15" s="119"/>
      <c r="V15" s="119"/>
      <c r="W15" s="119"/>
    </row>
    <row r="16" spans="1:23" ht="15.6">
      <c r="A16" s="277" t="s">
        <v>141</v>
      </c>
      <c r="B16" s="277"/>
      <c r="C16" s="277"/>
      <c r="D16" s="277"/>
      <c r="E16" s="277"/>
      <c r="F16" s="277"/>
      <c r="G16" s="277"/>
      <c r="H16" s="277"/>
      <c r="I16" s="277"/>
      <c r="J16" s="277"/>
      <c r="K16" s="277"/>
      <c r="L16" s="126"/>
      <c r="M16" s="119"/>
      <c r="N16" s="119"/>
      <c r="O16" s="119" t="s">
        <v>142</v>
      </c>
      <c r="P16" s="119"/>
      <c r="Q16" s="119"/>
      <c r="R16" s="119"/>
      <c r="S16" s="124"/>
      <c r="T16" s="125"/>
      <c r="U16" s="119"/>
      <c r="V16" s="119"/>
      <c r="W16" s="119"/>
    </row>
    <row r="17" spans="1:23" ht="15.6">
      <c r="A17" s="126"/>
      <c r="B17" s="126"/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19"/>
      <c r="N17" s="119"/>
      <c r="O17" s="119"/>
      <c r="P17" s="119"/>
      <c r="Q17" s="119"/>
      <c r="R17" s="119"/>
      <c r="S17" s="124"/>
      <c r="T17" s="125"/>
      <c r="U17" s="119"/>
      <c r="V17" s="119"/>
      <c r="W17" s="119"/>
    </row>
    <row r="18" spans="1:23" ht="15.6">
      <c r="A18" s="126"/>
      <c r="B18" s="126"/>
      <c r="C18" s="129" t="str">
        <f>IF(AND($V$5&lt;&gt;1,$V$5&lt;&gt;2,$V$5&lt;&gt;3,$V$5&lt;&gt;4,$V$5&lt;&gt;5,$V$5&lt;&gt;6),"SELECT OPT",IF($V$5=1,$T$6,IF($V$5=2,$T$7,IF($V$5=3,$T$8,IF($V$5=4,$T$9,IF($V$5=5,$T$10,IF($V$5=6,$T$11,"SELECT OPT")))))))</f>
        <v>Construção de edifícios.</v>
      </c>
      <c r="D18" s="129"/>
      <c r="E18" s="129"/>
      <c r="F18" s="129"/>
      <c r="G18" s="129"/>
      <c r="H18" s="129"/>
      <c r="I18" s="129"/>
      <c r="J18" s="129"/>
      <c r="K18" s="129"/>
      <c r="L18" s="126"/>
      <c r="M18" s="119"/>
      <c r="N18" s="119"/>
      <c r="O18" s="119"/>
      <c r="P18" s="119"/>
      <c r="Q18" s="119"/>
      <c r="R18" s="119"/>
      <c r="S18" s="124"/>
      <c r="T18" s="125"/>
      <c r="U18" s="119"/>
      <c r="V18" s="119"/>
      <c r="W18" s="119"/>
    </row>
    <row r="19" spans="1:23" ht="15.6">
      <c r="A19" s="126"/>
      <c r="B19" s="126"/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19"/>
      <c r="N19" s="119"/>
      <c r="O19" s="119"/>
      <c r="P19" s="119"/>
      <c r="Q19" s="119"/>
      <c r="R19" s="119"/>
      <c r="S19" s="124"/>
      <c r="T19" s="125"/>
      <c r="U19" s="119"/>
      <c r="V19" s="119"/>
      <c r="W19" s="119"/>
    </row>
    <row r="20" spans="1:23" ht="15.6">
      <c r="A20" s="126"/>
      <c r="B20" s="277" t="s">
        <v>143</v>
      </c>
      <c r="C20" s="277"/>
      <c r="D20" s="277"/>
      <c r="E20" s="277"/>
      <c r="F20" s="277"/>
      <c r="G20" s="277"/>
      <c r="H20" s="277"/>
      <c r="I20" s="277"/>
      <c r="J20" s="277"/>
      <c r="K20" s="277"/>
      <c r="L20" s="126"/>
      <c r="M20" s="119"/>
      <c r="N20" s="119"/>
      <c r="O20" s="119"/>
      <c r="P20" s="119"/>
      <c r="Q20" s="119"/>
      <c r="R20" s="119"/>
      <c r="S20" s="124"/>
      <c r="T20" s="125"/>
      <c r="U20" s="119"/>
      <c r="V20" s="119"/>
      <c r="W20" s="119"/>
    </row>
    <row r="21" spans="1:23" ht="15.6">
      <c r="A21" s="126" t="s">
        <v>144</v>
      </c>
      <c r="B21" s="126"/>
      <c r="C21" s="126"/>
      <c r="F21" s="126"/>
      <c r="G21" s="126"/>
      <c r="H21" s="126"/>
      <c r="I21" s="126"/>
      <c r="J21" s="126"/>
      <c r="K21" s="126"/>
      <c r="L21" s="126"/>
      <c r="M21" s="119"/>
      <c r="N21" s="119"/>
      <c r="O21" s="119"/>
      <c r="P21" s="119"/>
      <c r="Q21" s="119"/>
      <c r="R21" s="119"/>
      <c r="S21" s="124"/>
      <c r="T21" s="125"/>
      <c r="U21" s="119"/>
      <c r="V21" s="119"/>
      <c r="W21" s="119"/>
    </row>
    <row r="22" spans="1:23" ht="15.6">
      <c r="A22" s="126"/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19"/>
      <c r="N22" s="119"/>
      <c r="O22" s="119"/>
      <c r="P22" s="119"/>
      <c r="Q22" s="119"/>
      <c r="R22" s="119"/>
      <c r="S22" s="124"/>
      <c r="T22" s="125"/>
      <c r="U22" s="119"/>
      <c r="V22" s="119"/>
      <c r="W22" s="119"/>
    </row>
    <row r="23" spans="1:23" ht="15.6">
      <c r="A23" s="126"/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19"/>
      <c r="N23" s="119"/>
      <c r="O23" s="119"/>
      <c r="P23" s="119"/>
      <c r="Q23" s="119"/>
      <c r="R23" s="119"/>
      <c r="S23" s="124"/>
      <c r="T23" s="125"/>
      <c r="U23" s="119"/>
      <c r="V23" s="119"/>
      <c r="W23" s="119"/>
    </row>
    <row r="24" spans="1:23" ht="15.6">
      <c r="A24" s="126"/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19"/>
      <c r="N24" s="119"/>
      <c r="O24" s="119"/>
      <c r="P24" s="119"/>
      <c r="Q24" s="119"/>
      <c r="R24" s="119"/>
      <c r="S24" s="124"/>
      <c r="T24" s="125"/>
      <c r="U24" s="119"/>
      <c r="V24" s="119"/>
      <c r="W24" s="119"/>
    </row>
    <row r="25" spans="1:23" ht="15.6">
      <c r="A25" s="278" t="s">
        <v>145</v>
      </c>
      <c r="B25" s="278"/>
      <c r="C25" s="278"/>
      <c r="D25" s="278"/>
      <c r="E25" s="279" t="s">
        <v>146</v>
      </c>
      <c r="F25" s="279"/>
      <c r="G25" s="279"/>
      <c r="H25" s="279"/>
      <c r="I25" s="279"/>
      <c r="J25" s="279"/>
      <c r="K25" s="280" t="s">
        <v>147</v>
      </c>
      <c r="L25" s="280"/>
      <c r="M25" s="119"/>
      <c r="N25" s="119"/>
      <c r="O25" s="119"/>
      <c r="P25" s="119"/>
      <c r="Q25" s="119"/>
      <c r="R25" s="119"/>
      <c r="S25" s="124"/>
      <c r="T25" s="125"/>
      <c r="U25" s="119"/>
      <c r="V25" s="119"/>
      <c r="W25" s="119"/>
    </row>
    <row r="26" spans="1:23" ht="15.6">
      <c r="A26" s="278"/>
      <c r="B26" s="278"/>
      <c r="C26" s="278"/>
      <c r="D26" s="278"/>
      <c r="E26" s="281" t="s">
        <v>127</v>
      </c>
      <c r="F26" s="281"/>
      <c r="G26" s="281" t="s">
        <v>128</v>
      </c>
      <c r="H26" s="281"/>
      <c r="I26" s="281" t="s">
        <v>129</v>
      </c>
      <c r="J26" s="281"/>
      <c r="K26" s="280"/>
      <c r="L26" s="280"/>
      <c r="M26" s="119"/>
      <c r="N26" s="119"/>
      <c r="O26" s="119"/>
      <c r="P26" s="119"/>
      <c r="Q26" s="119"/>
      <c r="R26" s="119"/>
      <c r="S26" s="124"/>
      <c r="T26" s="125"/>
      <c r="U26" s="119"/>
      <c r="V26" s="119"/>
      <c r="W26" s="119"/>
    </row>
    <row r="27" spans="1:23" ht="15.6">
      <c r="A27" s="273" t="s">
        <v>148</v>
      </c>
      <c r="B27" s="273"/>
      <c r="C27" s="273"/>
      <c r="D27" s="134" t="s">
        <v>149</v>
      </c>
      <c r="E27" s="274">
        <f>IF(AND($V$5&lt;&gt;1,$V$5&lt;&gt;2,$V$5&lt;&gt;3,$V$5&lt;&gt;4,$V$5&lt;&gt;5,$V$5&lt;&gt;6),"SELECT OPT",IF($V$5=1,3,IF($V$5=2,3.8,IF($V$5=3,3.43,IF($V$5=4,5.29,IF($V$5=5,4,IF($V$5=6,1.5,"SELECT OPT")))))))</f>
        <v>3</v>
      </c>
      <c r="F27" s="274"/>
      <c r="G27" s="274">
        <f>IF(AND($V$5&lt;&gt;1,$V$5&lt;&gt;2,$V$5&lt;&gt;3,$V$5&lt;&gt;4,$V$5&lt;&gt;5,$V$5&lt;&gt;6),"SELECT OPT",IF($V$5=1,4,IF($V$5=2,4.01,IF($V$5=3,4.93,IF($V$5=4,5.92,IF($V$5=5,5.52,IF($V$5=6,3.45,"SELECT OPT")))))))</f>
        <v>4</v>
      </c>
      <c r="H27" s="274"/>
      <c r="I27" s="274">
        <f>IF(AND($V$5&lt;&gt;1,$V$5&lt;&gt;2,$V$5&lt;&gt;3,$V$5&lt;&gt;4,$V$5&lt;&gt;5,$V$5&lt;&gt;6),"SELECT OPT",IF($V$5=1,5.5,IF($V$5=2,4.67,IF($V$5=3,6.71,IF($V$5=4,7.93,IF($V$5=5,7.85,IF($V$5=6,4.49,"SELECT OPT")))))))</f>
        <v>5.5</v>
      </c>
      <c r="J27" s="274"/>
      <c r="K27" s="275">
        <v>3</v>
      </c>
      <c r="L27" s="275"/>
      <c r="M27" s="119"/>
      <c r="N27" s="119"/>
      <c r="O27" s="119"/>
      <c r="P27" s="119"/>
      <c r="Q27" s="119"/>
      <c r="R27" s="119"/>
      <c r="S27" s="124"/>
      <c r="T27" s="125"/>
      <c r="U27" s="119"/>
      <c r="V27" s="119"/>
      <c r="W27" s="119"/>
    </row>
    <row r="28" spans="1:23" ht="15.6">
      <c r="A28" s="261" t="s">
        <v>150</v>
      </c>
      <c r="B28" s="261"/>
      <c r="C28" s="261"/>
      <c r="D28" s="135" t="s">
        <v>151</v>
      </c>
      <c r="E28" s="262">
        <v>0.8</v>
      </c>
      <c r="F28" s="262"/>
      <c r="G28" s="262">
        <f>IF(AND($V$5&lt;&gt;1,$V$5&lt;&gt;2,$V$5&lt;&gt;3,$V$5&lt;&gt;4,$V$5&lt;&gt;5,$V$5&lt;&gt;6),"SELECT OPT",IF($V$5=1,0.8,IF($V$5=2,0.4,IF($V$5=3,0.49,IF($V$5=4,0.51,IF($V$5=5,1.22,IF($V$5=6,0.48,"SELECT OPT")))))))</f>
        <v>0.8</v>
      </c>
      <c r="H28" s="262"/>
      <c r="I28" s="262">
        <f>IF(AND($V$5&lt;&gt;1,$V$5&lt;&gt;2,$V$5&lt;&gt;3,$V$5&lt;&gt;4,$V$5&lt;&gt;5,$V$5&lt;&gt;6),"SELECT OPT",IF($V$5=1,1,IF($V$5=2,0.74,IF($V$5=3,0.75,IF($V$5=4,0.56,IF($V$5=5,1.99,IF($V$5=6,0.82,"SELECT OPT")))))))</f>
        <v>1</v>
      </c>
      <c r="J28" s="262"/>
      <c r="K28" s="263">
        <v>0.8</v>
      </c>
      <c r="L28" s="263"/>
      <c r="M28" s="119"/>
      <c r="N28" s="119"/>
      <c r="O28" s="119"/>
      <c r="P28" s="119"/>
      <c r="Q28" s="119"/>
      <c r="R28" s="119"/>
      <c r="S28" s="124"/>
      <c r="T28" s="125"/>
      <c r="U28" s="119"/>
      <c r="V28" s="119"/>
      <c r="W28" s="119"/>
    </row>
    <row r="29" spans="1:23" ht="15.6">
      <c r="A29" s="261" t="s">
        <v>152</v>
      </c>
      <c r="B29" s="261"/>
      <c r="C29" s="261"/>
      <c r="D29" s="135" t="s">
        <v>153</v>
      </c>
      <c r="E29" s="262">
        <f>IF(AND($V$5&lt;&gt;1,$V$5&lt;&gt;2,$V$5&lt;&gt;3,$V$5&lt;&gt;4,$V$5&lt;&gt;5,$V$5&lt;&gt;6),"SELECT OPT",IF($V$5=1,0.97,IF($V$5=2,0.5,IF($V$5=3,1,IF($V$5=4,1,IF($V$5=5,1.46,IF($V$5=6,0.56,"SELECT OPT")))))))</f>
        <v>0.97</v>
      </c>
      <c r="F29" s="262"/>
      <c r="G29" s="262">
        <f>IF(AND($V$5&lt;&gt;1,$V$5&lt;&gt;2,$V$5&lt;&gt;3,$V$5&lt;&gt;4,$V$5&lt;&gt;5,$V$5&lt;&gt;6),"SELECT OPT",IF($V$5=1,1.27,IF($V$5=2,0.56,IF($V$5=3,1.39,IF($V$5=4,1.48,IF($V$5=5,2.32,IF($V$5=6,0.85,"SELECT OPT")))))))</f>
        <v>1.27</v>
      </c>
      <c r="H29" s="262"/>
      <c r="I29" s="262">
        <f>IF(AND($V$5&lt;&gt;1,$V$5&lt;&gt;2,$V$5&lt;&gt;3,$V$5&lt;&gt;4,$V$5&lt;&gt;5,$V$5&lt;&gt;6),"SELECT OPT",IF($V$5=1,1.27,IF($V$5=2,0.97,IF($V$5=3,1.74,IF($V$5=4,1.97,IF($V$5=5,3.16,IF($V$5=6,0.89,"SELECT OPT")))))))</f>
        <v>1.27</v>
      </c>
      <c r="J29" s="262"/>
      <c r="K29" s="263">
        <v>0.97</v>
      </c>
      <c r="L29" s="263"/>
      <c r="M29" s="119"/>
      <c r="N29" s="119"/>
      <c r="O29" s="119"/>
      <c r="P29" s="119"/>
      <c r="Q29" s="119"/>
      <c r="R29" s="119"/>
      <c r="S29" s="124"/>
      <c r="T29" s="125"/>
      <c r="U29" s="119"/>
      <c r="V29" s="119"/>
      <c r="W29" s="119"/>
    </row>
    <row r="30" spans="1:23" ht="15.6">
      <c r="A30" s="261" t="s">
        <v>154</v>
      </c>
      <c r="B30" s="261"/>
      <c r="C30" s="261"/>
      <c r="D30" s="135" t="s">
        <v>155</v>
      </c>
      <c r="E30" s="262">
        <f>IF(AND($V$5&lt;&gt;1,$V$5&lt;&gt;2,$V$5&lt;&gt;3,$V$5&lt;&gt;4,$V$5&lt;&gt;5,$V$5&lt;&gt;6),"SELECT OPT",IF($V$5=1,0.59,IF($V$5=2,1.02,IF($V$5=3,0.94,IF($V$5=4,1.01,IF($V$5=5,0.94,IF($V$5=6,0.85,"SELECT OPT")))))))</f>
        <v>0.59</v>
      </c>
      <c r="F30" s="262"/>
      <c r="G30" s="262">
        <f>IF(AND($V$5&lt;&gt;1,$V$5&lt;&gt;2,$V$5&lt;&gt;3,$V$5&lt;&gt;4,$V$5&lt;&gt;5,$V$5&lt;&gt;6),"SELECT OPT",IF($V$5=1,1.23,IF($V$5=2,1.11,IF($V$5=3,0.99,IF($V$5=4,1.07,IF($V$5=5,1.02,IF($V$5=6,0.85,"SELECT OPT")))))))</f>
        <v>1.23</v>
      </c>
      <c r="H30" s="262"/>
      <c r="I30" s="262">
        <f>IF(AND($V$5&lt;&gt;1,$V$5&lt;&gt;2,$V$5&lt;&gt;3,$V$5&lt;&gt;4,$V$5&lt;&gt;5,$V$5&lt;&gt;6),"SELECT OPT",IF($V$5=1,1.39,IF($V$5=2,1.21,IF($V$5=3,1.17,IF($V$5=4,1.11,IF($V$5=5,1.33,IF($V$5=6,1.11,"SELECT OPT")))))))</f>
        <v>1.39</v>
      </c>
      <c r="J30" s="262"/>
      <c r="K30" s="263">
        <v>0.59</v>
      </c>
      <c r="L30" s="263"/>
      <c r="M30" s="119"/>
      <c r="N30" s="119"/>
      <c r="O30" s="119"/>
      <c r="P30" s="119"/>
      <c r="Q30" s="119"/>
      <c r="R30" s="119"/>
      <c r="S30" s="124"/>
      <c r="T30" s="125"/>
      <c r="U30" s="119"/>
      <c r="V30" s="119"/>
      <c r="W30" s="119"/>
    </row>
    <row r="31" spans="1:23" ht="15.6">
      <c r="A31" s="270" t="s">
        <v>156</v>
      </c>
      <c r="B31" s="270"/>
      <c r="C31" s="270"/>
      <c r="D31" s="136" t="s">
        <v>157</v>
      </c>
      <c r="E31" s="271">
        <f>IF(AND($V$5&lt;&gt;1,$V$5&lt;&gt;2,$V$5&lt;&gt;3,$V$5&lt;&gt;4,$V$5&lt;&gt;5,$V$5&lt;&gt;6),"SELECT OPT",IF($V$5=1,6.16,IF($V$5=2,6.64,IF($V$5=3,6.74,IF($V$5=4,8,IF($V$5=5,7.14,IF($V$5=6,3.5,"SELECT OPT")))))))</f>
        <v>6.16</v>
      </c>
      <c r="F31" s="271"/>
      <c r="G31" s="271">
        <f>IF(AND($V$5&lt;&gt;1,$V$5&lt;&gt;2,$V$5&lt;&gt;3,$V$5&lt;&gt;4,$V$5&lt;&gt;5,$V$5&lt;&gt;6),"SELECT OPT",IF($V$5=1,7.4,IF($V$5=2,7.3,IF($V$5=3,8.04,IF($V$5=4,8.31,IF($V$5=5,8.4,IF($V$5=6,5.11,"SELECT OPT")))))))</f>
        <v>7.4</v>
      </c>
      <c r="H31" s="271"/>
      <c r="I31" s="271">
        <f>IF(AND($V$5&lt;&gt;1,$V$5&lt;&gt;2,$V$5&lt;&gt;3,$V$5&lt;&gt;4,$V$5&lt;&gt;5,$V$5&lt;&gt;6),"SELECT OPT",IF($V$5=1,8.96,IF($V$5=2,8.69,IF($V$5=3,9.4,IF($V$5=4,9.51,IF($V$5=5,10.43,IF($V$5=6,6.22,"SELECT OPT")))))))</f>
        <v>8.9600000000000009</v>
      </c>
      <c r="J31" s="271"/>
      <c r="K31" s="272">
        <v>6.16</v>
      </c>
      <c r="L31" s="272"/>
      <c r="M31" s="119"/>
      <c r="N31" s="119"/>
      <c r="O31" s="119"/>
      <c r="P31" s="119"/>
      <c r="Q31" s="119"/>
      <c r="R31" s="119"/>
      <c r="S31" s="124"/>
      <c r="T31" s="125"/>
      <c r="U31" s="119"/>
      <c r="V31" s="119"/>
      <c r="W31" s="119"/>
    </row>
    <row r="32" spans="1:23" ht="15.6">
      <c r="A32" s="267" t="s">
        <v>158</v>
      </c>
      <c r="B32" s="267"/>
      <c r="C32" s="267"/>
      <c r="D32" s="137" t="s">
        <v>159</v>
      </c>
      <c r="E32" s="268">
        <f>SUM(E33:F36)</f>
        <v>9.65</v>
      </c>
      <c r="F32" s="268"/>
      <c r="G32" s="268">
        <f>SUM(G33:H36)</f>
        <v>11.15</v>
      </c>
      <c r="H32" s="268"/>
      <c r="I32" s="268">
        <f>SUM(I33:J36)</f>
        <v>13.15</v>
      </c>
      <c r="J32" s="268"/>
      <c r="K32" s="269">
        <f>ROUND(SUM(K33:L36),2)</f>
        <v>13.15</v>
      </c>
      <c r="L32" s="269"/>
      <c r="M32" s="119"/>
      <c r="N32" s="119"/>
      <c r="O32" s="119"/>
      <c r="P32" s="119"/>
      <c r="Q32" s="138"/>
      <c r="R32" s="119"/>
      <c r="S32" s="124"/>
      <c r="T32" s="125"/>
      <c r="U32" s="119"/>
      <c r="V32" s="119"/>
      <c r="W32" s="119"/>
    </row>
    <row r="33" spans="1:23" ht="15.6">
      <c r="A33" s="264" t="s">
        <v>160</v>
      </c>
      <c r="B33" s="264"/>
      <c r="C33" s="264"/>
      <c r="D33" s="139"/>
      <c r="E33" s="265">
        <v>3</v>
      </c>
      <c r="F33" s="265"/>
      <c r="G33" s="265">
        <v>3</v>
      </c>
      <c r="H33" s="265"/>
      <c r="I33" s="265">
        <v>3</v>
      </c>
      <c r="J33" s="265"/>
      <c r="K33" s="266">
        <v>3</v>
      </c>
      <c r="L33" s="266"/>
      <c r="M33" s="119"/>
      <c r="N33" s="119"/>
      <c r="O33" s="119"/>
      <c r="P33" s="119"/>
      <c r="Q33" s="138"/>
      <c r="R33" s="119"/>
      <c r="S33" s="124"/>
      <c r="T33" s="125"/>
      <c r="U33" s="119"/>
      <c r="V33" s="119"/>
      <c r="W33" s="119"/>
    </row>
    <row r="34" spans="1:23" ht="15.6">
      <c r="A34" s="261" t="s">
        <v>161</v>
      </c>
      <c r="B34" s="261"/>
      <c r="C34" s="261"/>
      <c r="D34" s="140"/>
      <c r="E34" s="262">
        <v>0.65</v>
      </c>
      <c r="F34" s="262"/>
      <c r="G34" s="262">
        <v>0.65</v>
      </c>
      <c r="H34" s="262"/>
      <c r="I34" s="262">
        <v>0.65</v>
      </c>
      <c r="J34" s="262"/>
      <c r="K34" s="263">
        <v>0.65</v>
      </c>
      <c r="L34" s="263"/>
      <c r="M34" s="119"/>
      <c r="N34" s="119"/>
      <c r="O34" s="119"/>
      <c r="P34" s="119"/>
      <c r="Q34" s="138"/>
      <c r="R34" s="119"/>
      <c r="S34" s="124"/>
      <c r="T34" s="125"/>
      <c r="U34" s="119"/>
      <c r="V34" s="119"/>
      <c r="W34" s="119"/>
    </row>
    <row r="35" spans="1:23" ht="15.6">
      <c r="A35" s="261" t="s">
        <v>162</v>
      </c>
      <c r="B35" s="261"/>
      <c r="C35" s="261"/>
      <c r="D35" s="140"/>
      <c r="E35" s="262">
        <f>IF(AND($V$5&lt;&gt;1,$V$5&lt;&gt;2,$V$5&lt;&gt;3,$V$5&lt;&gt;4,$V$5&lt;&gt;5,$V$5&lt;&gt;6),"SELECT OPT",IF($V$5=1,1.5,IF($V$5=2,1.5,IF($V$5=3,1.5,IF($V$5=4,1.5,IF($V$5=5,1.5,IF($V$5=6,0,"SELECT OPT")))))))</f>
        <v>1.5</v>
      </c>
      <c r="F35" s="262"/>
      <c r="G35" s="262">
        <f>IF(AND($V$5&lt;&gt;1,$V$5&lt;&gt;2,$V$5&lt;&gt;3,$V$5&lt;&gt;4,$V$5&lt;&gt;5,$V$5&lt;&gt;6),"SELECT OPT",IF($V$5=1,3,IF($V$5=2,3,IF($V$5=3,3,IF($V$5=4,3,IF($V$5=5,3,IF($V$5=6,0,"SELECT OPT")))))))</f>
        <v>3</v>
      </c>
      <c r="H35" s="262"/>
      <c r="I35" s="262">
        <f>IF(AND($V$5&lt;&gt;1,$V$5&lt;&gt;2,$V$5&lt;&gt;3,$V$5&lt;&gt;4,$V$5&lt;&gt;5,$V$5&lt;&gt;6),"SELECT OPT",IF($V$5=1,5,IF($V$5=2,5,IF($V$5=3,5,IF($V$5=4,5,IF($V$5=5,5,IF($V$5=6,0,"SELECT OPT")))))))</f>
        <v>5</v>
      </c>
      <c r="J35" s="262"/>
      <c r="K35" s="263">
        <v>5</v>
      </c>
      <c r="L35" s="263"/>
      <c r="M35" s="119"/>
      <c r="N35" s="119"/>
      <c r="O35" s="119"/>
      <c r="P35" s="119"/>
      <c r="Q35" s="119"/>
      <c r="R35" s="119"/>
      <c r="S35" s="124"/>
      <c r="T35" s="125"/>
      <c r="U35" s="119"/>
      <c r="V35" s="119"/>
      <c r="W35" s="119"/>
    </row>
    <row r="36" spans="1:23" ht="15.6">
      <c r="A36" s="258" t="s">
        <v>163</v>
      </c>
      <c r="B36" s="258"/>
      <c r="C36" s="258"/>
      <c r="D36" s="141"/>
      <c r="E36" s="259">
        <f>IF(V1=1,4.5,IF(V1=2,0,""))</f>
        <v>4.5</v>
      </c>
      <c r="F36" s="259"/>
      <c r="G36" s="259">
        <f>IF(V1=1,4.5,IF(V1=2,0,""))</f>
        <v>4.5</v>
      </c>
      <c r="H36" s="259"/>
      <c r="I36" s="259">
        <f>IF(V1=1,4.5,IF(V1=2,0,""))</f>
        <v>4.5</v>
      </c>
      <c r="J36" s="259"/>
      <c r="K36" s="260">
        <v>4.5</v>
      </c>
      <c r="L36" s="260"/>
      <c r="M36" s="119"/>
      <c r="N36" s="119"/>
      <c r="O36" s="119"/>
      <c r="P36" s="119"/>
      <c r="Q36" s="119"/>
      <c r="R36" s="119"/>
      <c r="S36" s="124"/>
      <c r="T36" s="125"/>
      <c r="U36" s="119"/>
      <c r="V36" s="119"/>
      <c r="W36" s="119"/>
    </row>
    <row r="37" spans="1:23" ht="15.6">
      <c r="A37" s="255" t="s">
        <v>164</v>
      </c>
      <c r="B37" s="255"/>
      <c r="C37" s="255"/>
      <c r="D37" s="133"/>
      <c r="E37" s="256">
        <f>IF(AND($V$5&lt;&gt;1,$V$5&lt;&gt;2,$V$5&lt;&gt;3,$V$5&lt;&gt;4,$V$5&lt;&gt;5,$V$5&lt;&gt;6),"SELECT OPT",$O$14)</f>
        <v>26.333691200885468</v>
      </c>
      <c r="F37" s="256"/>
      <c r="G37" s="256">
        <f>IF(AND($V$5&lt;&gt;1,$V$5&lt;&gt;2,$V$5&lt;&gt;3,$V$5&lt;&gt;4,$V$5&lt;&gt;5,$V$5&lt;&gt;6),"SELECT OPT",$P$14)</f>
        <v>28.30503095104109</v>
      </c>
      <c r="H37" s="256"/>
      <c r="I37" s="256">
        <f>IF(AND($V$5&lt;&gt;1,$V$5&lt;&gt;2,$V$5&lt;&gt;3,$V$5&lt;&gt;4,$V$5&lt;&gt;5,$V$5&lt;&gt;6),"SELECT OPT",$Q$14)</f>
        <v>31.476683937823815</v>
      </c>
      <c r="J37" s="256"/>
      <c r="K37" s="257">
        <f>ROUND(((((1+K27/100+K28/100+K29/100)*(1+K30/100)*(1+K31/100))/(1-K32/100))-1)*100,2)</f>
        <v>28.82</v>
      </c>
      <c r="L37" s="257"/>
      <c r="M37" s="119"/>
      <c r="N37" s="119"/>
      <c r="O37" s="119"/>
      <c r="P37" s="119"/>
      <c r="Q37" s="119"/>
      <c r="R37" s="119"/>
      <c r="S37" s="124"/>
      <c r="T37" s="125"/>
      <c r="U37" s="119"/>
      <c r="V37" s="119"/>
      <c r="W37" s="119"/>
    </row>
    <row r="38" spans="1:23" ht="15.6">
      <c r="A38" s="142"/>
      <c r="B38" s="142"/>
      <c r="C38" s="142"/>
      <c r="D38" s="142"/>
      <c r="E38" s="143"/>
      <c r="F38" s="143"/>
      <c r="G38" s="143"/>
      <c r="H38" s="143"/>
      <c r="I38" s="143"/>
      <c r="J38" s="143"/>
      <c r="K38" s="143"/>
      <c r="L38" s="143"/>
      <c r="M38" s="119"/>
      <c r="N38" s="119"/>
      <c r="O38" s="119"/>
      <c r="P38" s="119"/>
      <c r="Q38" s="119"/>
      <c r="R38" s="119"/>
      <c r="S38" s="124"/>
      <c r="T38" s="125"/>
      <c r="U38" s="119"/>
      <c r="V38" s="119"/>
      <c r="W38" s="119"/>
    </row>
    <row r="39" spans="1:23" ht="15.6">
      <c r="A39" s="144" t="s">
        <v>165</v>
      </c>
      <c r="B39" s="144"/>
      <c r="C39" s="144" t="s">
        <v>166</v>
      </c>
      <c r="D39" s="144" t="s">
        <v>167</v>
      </c>
      <c r="E39" s="144"/>
      <c r="F39" s="144"/>
      <c r="G39" s="144"/>
      <c r="H39" s="144"/>
      <c r="I39" s="144"/>
      <c r="J39" s="144"/>
      <c r="K39" s="144"/>
      <c r="L39" s="144"/>
      <c r="M39" s="119"/>
      <c r="N39" s="119"/>
      <c r="O39" s="119"/>
      <c r="P39" s="119"/>
      <c r="Q39" s="119"/>
      <c r="R39" s="119"/>
      <c r="S39" s="124"/>
      <c r="T39" s="125"/>
      <c r="U39" s="119"/>
      <c r="V39" s="119"/>
      <c r="W39" s="119"/>
    </row>
    <row r="40" spans="1:23" ht="15.6">
      <c r="A40" s="145"/>
      <c r="B40" s="145"/>
      <c r="C40" s="145" t="s">
        <v>168</v>
      </c>
      <c r="D40" s="145" t="s">
        <v>169</v>
      </c>
      <c r="E40" s="145"/>
      <c r="F40" s="145"/>
      <c r="G40" s="145"/>
      <c r="H40" s="145"/>
      <c r="I40" s="145"/>
      <c r="J40" s="145"/>
      <c r="K40" s="145"/>
      <c r="L40" s="145"/>
      <c r="M40" s="119"/>
      <c r="N40" s="119"/>
      <c r="O40" s="119"/>
      <c r="P40" s="119"/>
      <c r="Q40" s="119"/>
      <c r="R40" s="119"/>
      <c r="S40" s="124"/>
      <c r="T40" s="125"/>
      <c r="U40" s="119"/>
      <c r="V40" s="119"/>
      <c r="W40" s="119"/>
    </row>
    <row r="41" spans="1:23" ht="15.6">
      <c r="A41" s="119"/>
      <c r="B41" s="119"/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24"/>
      <c r="T41" s="125"/>
      <c r="U41" s="119"/>
      <c r="V41" s="119"/>
      <c r="W41" s="119"/>
    </row>
    <row r="42" spans="1:23" s="146" customFormat="1" ht="20.25" customHeight="1">
      <c r="B42" s="107" t="str">
        <f>ORCAMENTO!B17</f>
        <v>ANANINDEUA(PA), 17 DE ABRIL DE 2025</v>
      </c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8"/>
      <c r="T42" s="149"/>
      <c r="U42" s="147"/>
      <c r="V42" s="147"/>
      <c r="W42" s="147"/>
    </row>
    <row r="43" spans="1:23" s="146" customFormat="1" ht="67.5" customHeight="1">
      <c r="A43" s="10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8"/>
      <c r="T43" s="149"/>
      <c r="U43" s="147"/>
      <c r="V43" s="147"/>
      <c r="W43" s="147"/>
    </row>
    <row r="44" spans="1:23" s="146" customFormat="1" ht="18">
      <c r="B44" s="107" t="str">
        <f>ORCAMENTO!B21</f>
        <v>RIOL - Serviços de Construções LTDA.</v>
      </c>
      <c r="M44" s="147"/>
      <c r="N44" s="147"/>
      <c r="O44" s="147"/>
      <c r="P44" s="147"/>
      <c r="Q44" s="147"/>
      <c r="R44" s="147"/>
      <c r="S44" s="148"/>
      <c r="T44" s="149"/>
      <c r="U44" s="147"/>
      <c r="V44" s="147"/>
      <c r="W44" s="147"/>
    </row>
    <row r="45" spans="1:23" s="146" customFormat="1" ht="18">
      <c r="B45" s="107" t="str">
        <f>ORCAMENTO!B22</f>
        <v>CNPJ: 09.335.585/0001-75</v>
      </c>
      <c r="M45" s="147"/>
      <c r="N45" s="147"/>
      <c r="O45" s="147"/>
      <c r="P45" s="147"/>
      <c r="Q45" s="147"/>
      <c r="R45" s="147"/>
      <c r="S45" s="148"/>
      <c r="T45" s="149"/>
      <c r="U45" s="147"/>
      <c r="V45" s="147"/>
      <c r="W45" s="147"/>
    </row>
    <row r="46" spans="1:23" ht="15.6">
      <c r="M46" s="119"/>
      <c r="N46" s="119"/>
      <c r="O46" s="119"/>
      <c r="P46" s="119"/>
      <c r="Q46" s="119"/>
      <c r="R46" s="119"/>
      <c r="S46" s="124"/>
      <c r="T46" s="125"/>
      <c r="U46" s="119"/>
      <c r="V46" s="119"/>
      <c r="W46" s="119"/>
    </row>
    <row r="47" spans="1:23" ht="15.6">
      <c r="M47" s="119"/>
      <c r="N47" s="119"/>
      <c r="O47" s="119"/>
      <c r="P47" s="119"/>
      <c r="Q47" s="119"/>
      <c r="R47" s="119"/>
      <c r="S47" s="124"/>
      <c r="T47" s="125"/>
      <c r="U47" s="119"/>
      <c r="V47" s="119"/>
      <c r="W47" s="119"/>
    </row>
    <row r="48" spans="1:23" ht="15.6">
      <c r="M48" s="119"/>
      <c r="N48" s="119"/>
      <c r="O48" s="119"/>
      <c r="P48" s="119"/>
      <c r="Q48" s="119"/>
      <c r="R48" s="119"/>
      <c r="S48" s="124"/>
      <c r="T48" s="125"/>
      <c r="U48" s="119"/>
      <c r="V48" s="119"/>
      <c r="W48" s="119"/>
    </row>
    <row r="49" spans="13:23" ht="15.6">
      <c r="M49" s="150"/>
      <c r="N49" s="119"/>
      <c r="O49" s="119"/>
      <c r="P49" s="119"/>
      <c r="Q49" s="119"/>
      <c r="R49" s="119"/>
      <c r="S49" s="124"/>
      <c r="T49" s="125"/>
      <c r="U49" s="119"/>
      <c r="V49" s="119"/>
      <c r="W49" s="119"/>
    </row>
    <row r="50" spans="13:23" ht="15.6">
      <c r="M50" s="150"/>
      <c r="N50" s="119"/>
      <c r="O50" s="119"/>
      <c r="P50" s="119"/>
      <c r="Q50" s="119"/>
      <c r="R50" s="119"/>
      <c r="S50" s="124"/>
      <c r="T50" s="125"/>
      <c r="U50" s="119"/>
      <c r="V50" s="119"/>
      <c r="W50" s="119"/>
    </row>
    <row r="51" spans="13:23" ht="15.6">
      <c r="M51" s="119"/>
      <c r="N51" s="119"/>
      <c r="O51" s="119"/>
      <c r="P51" s="119"/>
      <c r="Q51" s="119"/>
      <c r="R51" s="119"/>
      <c r="S51" s="124"/>
      <c r="T51" s="125"/>
      <c r="U51" s="119"/>
      <c r="V51" s="119"/>
      <c r="W51" s="119"/>
    </row>
    <row r="52" spans="13:23" ht="15.6">
      <c r="M52" s="119"/>
      <c r="N52" s="126"/>
      <c r="O52" s="126"/>
      <c r="P52" s="126"/>
      <c r="Q52" s="126"/>
      <c r="R52" s="126"/>
      <c r="S52" s="124"/>
      <c r="T52" s="125"/>
      <c r="U52" s="126"/>
      <c r="V52" s="126"/>
      <c r="W52" s="126"/>
    </row>
    <row r="53" spans="13:23" ht="15.6">
      <c r="M53" s="119"/>
      <c r="N53" s="126"/>
      <c r="O53" s="126"/>
      <c r="P53" s="126"/>
      <c r="Q53" s="126"/>
      <c r="R53" s="150"/>
      <c r="S53" s="151"/>
      <c r="T53" s="152"/>
      <c r="U53" s="150"/>
      <c r="V53" s="150"/>
      <c r="W53" s="150"/>
    </row>
    <row r="54" spans="13:23" ht="15.6">
      <c r="M54" s="119"/>
      <c r="N54" s="119"/>
      <c r="O54" s="119"/>
      <c r="P54" s="119"/>
      <c r="Q54" s="119"/>
      <c r="R54" s="153"/>
      <c r="S54" s="151"/>
      <c r="T54" s="152"/>
      <c r="U54" s="153"/>
      <c r="V54" s="153"/>
      <c r="W54" s="153"/>
    </row>
    <row r="55" spans="13:23" ht="15.6">
      <c r="M55" s="119"/>
      <c r="N55" s="153"/>
      <c r="O55" s="153"/>
      <c r="P55" s="153"/>
      <c r="Q55" s="153"/>
      <c r="R55" s="119"/>
      <c r="S55" s="124"/>
      <c r="T55" s="125"/>
      <c r="U55" s="119"/>
      <c r="V55" s="119"/>
      <c r="W55" s="119"/>
    </row>
    <row r="56" spans="13:23" ht="15.6">
      <c r="N56" s="153"/>
      <c r="O56" s="153"/>
      <c r="P56" s="153"/>
      <c r="Q56" s="153"/>
      <c r="R56" s="119"/>
      <c r="S56" s="124"/>
      <c r="T56" s="125"/>
      <c r="U56" s="119"/>
      <c r="V56" s="119"/>
      <c r="W56" s="119"/>
    </row>
    <row r="57" spans="13:23" ht="15.6">
      <c r="N57" s="119"/>
      <c r="O57" s="119"/>
      <c r="P57" s="119"/>
      <c r="Q57" s="119"/>
      <c r="R57" s="119"/>
      <c r="S57" s="124"/>
      <c r="T57" s="125"/>
      <c r="U57" s="119"/>
      <c r="V57" s="119"/>
      <c r="W57" s="119"/>
    </row>
    <row r="58" spans="13:23" ht="15.6">
      <c r="N58" s="119"/>
      <c r="O58" s="119"/>
      <c r="P58" s="119"/>
      <c r="Q58" s="119"/>
      <c r="R58" s="119"/>
      <c r="S58" s="124"/>
      <c r="T58" s="125"/>
      <c r="U58" s="119"/>
      <c r="V58" s="119"/>
      <c r="W58" s="119"/>
    </row>
  </sheetData>
  <mergeCells count="81">
    <mergeCell ref="A1:L2"/>
    <mergeCell ref="S1:T1"/>
    <mergeCell ref="U1:U3"/>
    <mergeCell ref="V1:V3"/>
    <mergeCell ref="B3:L3"/>
    <mergeCell ref="N5:Q5"/>
    <mergeCell ref="S5:T5"/>
    <mergeCell ref="U5:U11"/>
    <mergeCell ref="V5:V11"/>
    <mergeCell ref="B6:K6"/>
    <mergeCell ref="M6:M12"/>
    <mergeCell ref="N6:P6"/>
    <mergeCell ref="A7:K7"/>
    <mergeCell ref="A9:K9"/>
    <mergeCell ref="B11:K11"/>
    <mergeCell ref="A12:K12"/>
    <mergeCell ref="A13:K13"/>
    <mergeCell ref="B15:K15"/>
    <mergeCell ref="A16:K16"/>
    <mergeCell ref="B20:K20"/>
    <mergeCell ref="A25:D26"/>
    <mergeCell ref="E25:J25"/>
    <mergeCell ref="K25:L26"/>
    <mergeCell ref="E26:F26"/>
    <mergeCell ref="G26:H26"/>
    <mergeCell ref="I26:J26"/>
    <mergeCell ref="A27:C27"/>
    <mergeCell ref="E27:F27"/>
    <mergeCell ref="G27:H27"/>
    <mergeCell ref="I27:J27"/>
    <mergeCell ref="K27:L27"/>
    <mergeCell ref="A28:C28"/>
    <mergeCell ref="E28:F28"/>
    <mergeCell ref="G28:H28"/>
    <mergeCell ref="I28:J28"/>
    <mergeCell ref="K28:L28"/>
    <mergeCell ref="A29:C29"/>
    <mergeCell ref="E29:F29"/>
    <mergeCell ref="G29:H29"/>
    <mergeCell ref="I29:J29"/>
    <mergeCell ref="K29:L29"/>
    <mergeCell ref="A30:C30"/>
    <mergeCell ref="E30:F30"/>
    <mergeCell ref="G30:H30"/>
    <mergeCell ref="I30:J30"/>
    <mergeCell ref="K30:L30"/>
    <mergeCell ref="A31:C31"/>
    <mergeCell ref="E31:F31"/>
    <mergeCell ref="G31:H31"/>
    <mergeCell ref="I31:J31"/>
    <mergeCell ref="K31:L31"/>
    <mergeCell ref="A32:C32"/>
    <mergeCell ref="E32:F32"/>
    <mergeCell ref="G32:H32"/>
    <mergeCell ref="I32:J32"/>
    <mergeCell ref="K32:L32"/>
    <mergeCell ref="A33:C33"/>
    <mergeCell ref="E33:F33"/>
    <mergeCell ref="G33:H33"/>
    <mergeCell ref="I33:J33"/>
    <mergeCell ref="K33:L33"/>
    <mergeCell ref="A34:C34"/>
    <mergeCell ref="E34:F34"/>
    <mergeCell ref="G34:H34"/>
    <mergeCell ref="I34:J34"/>
    <mergeCell ref="K34:L34"/>
    <mergeCell ref="A35:C35"/>
    <mergeCell ref="E35:F35"/>
    <mergeCell ref="G35:H35"/>
    <mergeCell ref="I35:J35"/>
    <mergeCell ref="K35:L35"/>
    <mergeCell ref="A36:C36"/>
    <mergeCell ref="E36:F36"/>
    <mergeCell ref="G36:H36"/>
    <mergeCell ref="I36:J36"/>
    <mergeCell ref="K36:L36"/>
    <mergeCell ref="A37:C37"/>
    <mergeCell ref="E37:F37"/>
    <mergeCell ref="G37:H37"/>
    <mergeCell ref="I37:J37"/>
    <mergeCell ref="K37:L37"/>
  </mergeCells>
  <printOptions horizontalCentered="1"/>
  <pageMargins left="0.51180555555555496" right="0.51180555555555496" top="0.39374999999999999" bottom="0.78749999999999998" header="0.51180555555555496" footer="0.51180555555555496"/>
  <pageSetup paperSize="9" scale="79"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8</vt:i4>
      </vt:variant>
    </vt:vector>
  </HeadingPairs>
  <TitlesOfParts>
    <vt:vector size="16" baseType="lpstr">
      <vt:lpstr>ORCDET REAJUSTADO 2025</vt:lpstr>
      <vt:lpstr>ORCAMENTO</vt:lpstr>
      <vt:lpstr>ORCDET</vt:lpstr>
      <vt:lpstr>CPU</vt:lpstr>
      <vt:lpstr>CRONOGRAMA</vt:lpstr>
      <vt:lpstr>QUANTIDADES</vt:lpstr>
      <vt:lpstr>ENCARGOS</vt:lpstr>
      <vt:lpstr>BDI</vt:lpstr>
      <vt:lpstr>BDI!Area_de_impressao</vt:lpstr>
      <vt:lpstr>CPU!Area_de_impressao</vt:lpstr>
      <vt:lpstr>CRONOGRAMA!Area_de_impressao</vt:lpstr>
      <vt:lpstr>ENCARGOS!Area_de_impressao</vt:lpstr>
      <vt:lpstr>ORCAMENTO!Area_de_impressao</vt:lpstr>
      <vt:lpstr>ORCDET!Area_de_impressao</vt:lpstr>
      <vt:lpstr>'ORCDET REAJUSTADO 2025'!Area_de_impressao</vt:lpstr>
      <vt:lpstr>QUANTIDADES!Area_de_impressao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axlsx</dc:creator>
  <dc:description/>
  <cp:lastModifiedBy>SAMSUNG</cp:lastModifiedBy>
  <cp:revision>5</cp:revision>
  <cp:lastPrinted>2025-04-17T15:37:26Z</cp:lastPrinted>
  <dcterms:created xsi:type="dcterms:W3CDTF">2022-02-24T13:57:10Z</dcterms:created>
  <dcterms:modified xsi:type="dcterms:W3CDTF">2025-05-20T15:05:42Z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